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4" sheetId="1" r:id="rId3"/>
    <sheet state="visible" name="2015" sheetId="2" r:id="rId4"/>
    <sheet state="visible" name="2016" sheetId="3" r:id="rId5"/>
    <sheet state="visible" name="2017" sheetId="4" r:id="rId6"/>
    <sheet state="visible" name="SERVIÇOS" sheetId="5" r:id="rId7"/>
    <sheet state="visible" name="Orçamento 2017" sheetId="6" r:id="rId8"/>
    <sheet state="visible" name="Orçamento 2018" sheetId="7" r:id="rId9"/>
    <sheet state="visible" name="Orçamento 2019" sheetId="8" r:id="rId10"/>
    <sheet state="visible" name="Plan2" sheetId="9" r:id="rId11"/>
    <sheet state="visible" name="Plan1" sheetId="10" r:id="rId12"/>
  </sheets>
  <definedNames>
    <definedName hidden="1" localSheetId="1" name="_xlnm._FilterDatabase">'2015'!$A$1:$E$1</definedName>
    <definedName hidden="1" localSheetId="2" name="_xlnm._FilterDatabase">'2016'!$A$1:$H$509</definedName>
    <definedName hidden="1" localSheetId="4" name="_xlnm._FilterDatabase">'SERVIÇOS'!$A$1:$G$84</definedName>
    <definedName hidden="1" localSheetId="3" name="_xlnm._FilterDatabase">'2017'!$A$1:$G$792</definedName>
  </definedNames>
  <calcPr/>
</workbook>
</file>

<file path=xl/sharedStrings.xml><?xml version="1.0" encoding="utf-8"?>
<sst xmlns="http://schemas.openxmlformats.org/spreadsheetml/2006/main" count="3548" uniqueCount="1994">
  <si>
    <t>EMPRESA</t>
  </si>
  <si>
    <t>DATA</t>
  </si>
  <si>
    <t>EMPENHO</t>
  </si>
  <si>
    <t>VALOR NÃO PROCESSADO</t>
  </si>
  <si>
    <t>RUBRICA</t>
  </si>
  <si>
    <t>DATA VENCIMENTO</t>
  </si>
  <si>
    <t>DESCRIÇÃO</t>
  </si>
  <si>
    <t>AW ASSISTENCIA  A SAUDE</t>
  </si>
  <si>
    <t>521244-1</t>
  </si>
  <si>
    <t xml:space="preserve"> EMPENHO LOTE 29 CRE 01/14</t>
  </si>
  <si>
    <t>CREDENCIAMENTO</t>
  </si>
  <si>
    <t>533823-1</t>
  </si>
  <si>
    <t xml:space="preserve"> EMPENHO LOTE 41 CRE 01/14</t>
  </si>
  <si>
    <t>CONFERIDO</t>
  </si>
  <si>
    <t>AIR LIQUIDE DO BRASIL</t>
  </si>
  <si>
    <t>AP TORTELLI COM. DE PROD. MEDICOS HOSPITALARES</t>
  </si>
  <si>
    <t>534659-1</t>
  </si>
  <si>
    <t>AQUISIÇÃO DE ELETRODOS CARONA DEAM PROT 13.365.229-6</t>
  </si>
  <si>
    <t>EMPENHO ENCERRADO</t>
  </si>
  <si>
    <t>517100-1</t>
  </si>
  <si>
    <t>410511-1</t>
  </si>
  <si>
    <t>CT 141/15 VIEGENCIA 11/08/15 A 10/08/16</t>
  </si>
  <si>
    <t>ESTORNADO</t>
  </si>
  <si>
    <t>CE 15/14 VIG 27/05/14 A 21/11/2014</t>
  </si>
  <si>
    <t>424543-1</t>
  </si>
  <si>
    <t>CE 702/14 VIGENCIA 07/11/2014 A 06/05/2015</t>
  </si>
  <si>
    <t>BYORI LABORATORIO</t>
  </si>
  <si>
    <t>427787-1</t>
  </si>
  <si>
    <t>LOTE 42</t>
  </si>
  <si>
    <t>614411-2</t>
  </si>
  <si>
    <t>COMPLEMENTO EMPENHO LOTE 29 CRE 01/14</t>
  </si>
  <si>
    <t>434090-1</t>
  </si>
  <si>
    <t>SALDO RESIDUAL</t>
  </si>
  <si>
    <t>637913-1</t>
  </si>
  <si>
    <t>2º TA CT 781/14 LOTE 29 CRED 001/14</t>
  </si>
  <si>
    <t>CENTRO DE CITOLOGIA E PATOLOGIA DO PARANA</t>
  </si>
  <si>
    <t>415918-1</t>
  </si>
  <si>
    <t>CONTRATO 497/14 VIGENCIA 15/08/14 A 11/02/15</t>
  </si>
  <si>
    <t>CENTRO DE DIAGNOSTICO AGUA VERD</t>
  </si>
  <si>
    <t>AGLCOMERCIO DE GENEROS ALIMENTICIOS</t>
  </si>
  <si>
    <t>427741-1</t>
  </si>
  <si>
    <t>623741-1</t>
  </si>
  <si>
    <t>ALIMENTAÇÃO PE 10/2016 13.985.991-0</t>
  </si>
  <si>
    <t>ESTORNAR CONFORME CONTATO COM A ESPERANÇA</t>
  </si>
  <si>
    <t>623811-1</t>
  </si>
  <si>
    <t>FEIJAO PE 580/2016 PROTOCOLO 14.213.136-6</t>
  </si>
  <si>
    <t>AIR LIQUIDE</t>
  </si>
  <si>
    <t>631288-1</t>
  </si>
  <si>
    <t>GÁS MEDICINAL</t>
  </si>
  <si>
    <t>ALECRIM COMERCIO DE PRODUTOS HORTIFRUTIGRANJEIROS</t>
  </si>
  <si>
    <t>508710-1</t>
  </si>
  <si>
    <t>AQUIS. HORTIFRUTIGRANJEIROS DEAM PROT . 13.601.825-6</t>
  </si>
  <si>
    <t>BAXTER HOSPITALAR</t>
  </si>
  <si>
    <t>508734-1</t>
  </si>
  <si>
    <t>PE 242/14 DEAM MATERIAL FARMACOLOGICO PROT 13.621.065-3</t>
  </si>
  <si>
    <t>517699-1</t>
  </si>
  <si>
    <t>CT 85/15 MANUT. EQUIP HEMODIALISE VIG 22/07/15 A 21/07/16</t>
  </si>
  <si>
    <t>BIO RESIDUOS TRANSPORTES</t>
  </si>
  <si>
    <t>508744-1</t>
  </si>
  <si>
    <t>CT 40/15 VIGENCIA 08/15/15 A 07/05/16 PROT 13.385.979-9</t>
  </si>
  <si>
    <t>CONTRATO ENCERROU EM MAIO/2016</t>
  </si>
  <si>
    <t>BRUSFOGO EXTINTORES E EQUIPAMENTOS DE SEGURANÇA</t>
  </si>
  <si>
    <t>527343-1</t>
  </si>
  <si>
    <t xml:space="preserve">CT 182/15 RECARGA SUBST. MANGUEIRA MANOMETRO E VALVULA VIG 19/10/15 A 18/10/16 </t>
  </si>
  <si>
    <t>533841-1</t>
  </si>
  <si>
    <t>CAPRICORN TECHNOLOGIES DO BRASIL</t>
  </si>
  <si>
    <t>513150-1</t>
  </si>
  <si>
    <t>CT 56/155 INSUMOS LABORATORIAIS VIG. 08/07/15 A 05/11/15</t>
  </si>
  <si>
    <t>CASA DA MERENDA COMERCIO DE ALIMENTOS</t>
  </si>
  <si>
    <t>508264-1</t>
  </si>
  <si>
    <t>PE 143/14 DEAM ALIMENTAÇÃO PROT. 13.231.189-7 E 13.592.977-8</t>
  </si>
  <si>
    <t>CENTER NUTRI COM. DE PROD. P/ NUTR. ENTERAL</t>
  </si>
  <si>
    <t>534647-1</t>
  </si>
  <si>
    <t>DIETAS ENTERAIS PROT. 13.335.281-3 E 13.863.431-0</t>
  </si>
  <si>
    <t>CENTRO DE CITOLOGIA E PATOLOGIA</t>
  </si>
  <si>
    <t>533836-1</t>
  </si>
  <si>
    <t>LOTE 20</t>
  </si>
  <si>
    <t>CENTRO DE DIAGNOSTICO AGUA VERDE</t>
  </si>
  <si>
    <t>533754-1</t>
  </si>
  <si>
    <t>EMPENHO LOTE 27 CRED 01</t>
  </si>
  <si>
    <t>533771-1</t>
  </si>
  <si>
    <t>LOTE 21</t>
  </si>
  <si>
    <t xml:space="preserve">CLICK IMPORT </t>
  </si>
  <si>
    <t>518910-1</t>
  </si>
  <si>
    <t>MATERIAL DE EXPEDIENTE PE 141 E 142/14 – PROT. 13.240.453-4 E 13.240.464-0 E 13.345.047-5</t>
  </si>
  <si>
    <t>CLINICA CARDIOLOGICA COSTANTINI</t>
  </si>
  <si>
    <t>533303-1</t>
  </si>
  <si>
    <t>EMPENHO LOTE 01 CRED 02</t>
  </si>
  <si>
    <t>427744-1</t>
  </si>
  <si>
    <t>CLINICA MEDICINA FISICA E REABILITAÇÃO</t>
  </si>
  <si>
    <t>533316-1</t>
  </si>
  <si>
    <t>LOTE 01</t>
  </si>
  <si>
    <t>533325-1</t>
  </si>
  <si>
    <t>LOTE 02</t>
  </si>
  <si>
    <t>NF 22483</t>
  </si>
  <si>
    <t>434052-1</t>
  </si>
  <si>
    <t>434055-1</t>
  </si>
  <si>
    <t>CENTRO NEUROLOGICO DO PARANA</t>
  </si>
  <si>
    <t>415923-1</t>
  </si>
  <si>
    <t>CONTRATO 498/14 VIGENCIA 15/08/14 A 11/02/15</t>
  </si>
  <si>
    <t>434150-1</t>
  </si>
  <si>
    <t>LOTE 01 CRED 02</t>
  </si>
  <si>
    <t>CLINICA DE SAUDE MENTAL RMEJIA</t>
  </si>
  <si>
    <t>415916-1</t>
  </si>
  <si>
    <t>CONTRATO 500/14 VIGENCIA 15/08/14 A 11/02/15</t>
  </si>
  <si>
    <t>417965-2</t>
  </si>
  <si>
    <t>CONTRATO 519/14 VIGENCIA 26/08/2014 A 22/02/2015</t>
  </si>
  <si>
    <t>CLINICA DE MEDICINA FISICA E REABILITAÇÃO DE CURITIBA</t>
  </si>
  <si>
    <t>415921-1</t>
  </si>
  <si>
    <t>Contrato 499/14 vigencia 15/08/2014 a 11/02/2015</t>
  </si>
  <si>
    <t>434031-1</t>
  </si>
  <si>
    <t>lote 02</t>
  </si>
  <si>
    <t>CLINICA DE OLHOS DE CURITIBA</t>
  </si>
  <si>
    <t>514682-1</t>
  </si>
  <si>
    <t>LOTE 16</t>
  </si>
  <si>
    <t>514683-1</t>
  </si>
  <si>
    <t>LOTE 43</t>
  </si>
  <si>
    <t>COMPANHIA ULTRAGAZ</t>
  </si>
  <si>
    <t>515763-1</t>
  </si>
  <si>
    <t>CT 142/155 VIGENCIA 06/08/15 A 05/08/16</t>
  </si>
  <si>
    <t>COPPAS</t>
  </si>
  <si>
    <t>533930-1</t>
  </si>
  <si>
    <t>LOTE 45</t>
  </si>
  <si>
    <t>CODIL COMERCIAL DISTRBUIDORA</t>
  </si>
  <si>
    <t>429583-1</t>
  </si>
  <si>
    <t>LOTE 06 DE AQUISIÇÃO DE MATERIAL HOSPITALAR HIGIENE E EPI EM 09 LOTES</t>
  </si>
  <si>
    <t>CUIDADOS INTENSIVOS DE CURITIBA</t>
  </si>
  <si>
    <t>CONEMED SERVIÇE MANUT. DE EQUIP. HOSPITALARES</t>
  </si>
  <si>
    <t>410521-1</t>
  </si>
  <si>
    <t>520534-1</t>
  </si>
  <si>
    <t>CE 17/14 SERV. UTI VIGENCIA 27/05/14 A 21/11/14</t>
  </si>
  <si>
    <t>CT 170/15 VIGENCIA 11/09/15 A 10/09/16</t>
  </si>
  <si>
    <t>CORONEL DULCIDIO CONSULTORIO OFTALMOLOGICO</t>
  </si>
  <si>
    <t>514692-1</t>
  </si>
  <si>
    <t>LOTE 16 – CREDENCIAMENTO 01/14</t>
  </si>
  <si>
    <t>514693-1</t>
  </si>
  <si>
    <t>LOTE 43 – CREDENCIAMENTO 001/2014</t>
  </si>
  <si>
    <t>DAL IMAGEM</t>
  </si>
  <si>
    <t>427793-1</t>
  </si>
  <si>
    <t>LOTE 44</t>
  </si>
  <si>
    <t>COSTA OESTE SERVIÇOS DE LIMPEZA</t>
  </si>
  <si>
    <t>516373-1</t>
  </si>
  <si>
    <t>2 TERMO AD CT 124/13 PTOT 13.609.341-0 VIG. 10/06/15 A 09/06/16 E REPACTUAÇÃO</t>
  </si>
  <si>
    <t>516413-1</t>
  </si>
  <si>
    <t>2 TERMO AD CT 124/13 PTOT 13.609.341-0 VIG. 10/06/15 A 09/06/16</t>
  </si>
  <si>
    <t>532464-1</t>
  </si>
  <si>
    <t>2 TERMO AD CT 124/13 PTOT 13.609.341-0 VIG. 10/06/15 A 09/06/16 – COMPLEMENTO</t>
  </si>
  <si>
    <t>ELI SERVIÇOS MEDICOS</t>
  </si>
  <si>
    <t>427745-1</t>
  </si>
  <si>
    <t>DAL IMAGEM NUCLEO DE IMAGEM</t>
  </si>
  <si>
    <t>533927-1</t>
  </si>
  <si>
    <t>DEPARTAMENTO DE IMPRENSA OFICIAL</t>
  </si>
  <si>
    <t>501675-1</t>
  </si>
  <si>
    <t>AQUIS. 200 BLOCOS RECEITUARIOS AZUL PROT . 13.513.029-0</t>
  </si>
  <si>
    <t>NÃO TEM CONTRATO, PODE SER ADQUIRIDO AINDA?</t>
  </si>
  <si>
    <t>434054-1</t>
  </si>
  <si>
    <t>DIMACI MATERIAL CIRURGICO</t>
  </si>
  <si>
    <t>503886-1</t>
  </si>
  <si>
    <t>AQUIS. ACIDO PERACETICO – APOST FUNESP PROT. 12.032.326-1</t>
  </si>
  <si>
    <t>EFETIVE PRODUTOS MEDICOS HOSPITLARES</t>
  </si>
  <si>
    <t>516576-1</t>
  </si>
  <si>
    <t>CT 152/15 INSUMOS HOSP. VIG. 17/08/15 A 16/08/16</t>
  </si>
  <si>
    <t>533767-1</t>
  </si>
  <si>
    <t>AABA COMERCIO DE EQUIPAMENTOS MEDICOS</t>
  </si>
  <si>
    <t>ESTERIFLEX COMERCIO E SERV. PARA SAUDE</t>
  </si>
  <si>
    <t>622202-2</t>
  </si>
  <si>
    <t>NF 2951</t>
  </si>
  <si>
    <t>517696-1</t>
  </si>
  <si>
    <t>CT 139/15 VIGENCIA 04/08/15 A 03/08/16</t>
  </si>
  <si>
    <t>EMERENCIAL MATERIAL MEDICO HOSPITALAR 20/07/16 A 16/01/2017</t>
  </si>
  <si>
    <t>CONTRATO ENCERROU EM AGOSTO/2016</t>
  </si>
  <si>
    <t>AABA</t>
  </si>
  <si>
    <t>NF 303</t>
  </si>
  <si>
    <t>EXTINORPI EXTINTORES DO NORTE PIONEIRO</t>
  </si>
  <si>
    <t>527339-1</t>
  </si>
  <si>
    <t>CT 181/15 MANGUEIRAS E ESGUICHO VIG 19/10/15 A 18/10/16</t>
  </si>
  <si>
    <t>637373-1</t>
  </si>
  <si>
    <t>CT 480/16 MMH EMERGENCIAL</t>
  </si>
  <si>
    <t>HOSPITAL E MATERNIDADE SANTA BRIGIDA</t>
  </si>
  <si>
    <t>410524-1</t>
  </si>
  <si>
    <t>FARMACE IND. QUIM. FARMACEUTICA CEARENSE</t>
  </si>
  <si>
    <t>CE 22/14 VIGENCIA 02/06/14 A 28/11/14</t>
  </si>
  <si>
    <t>508738-1</t>
  </si>
  <si>
    <t>GMB ASSISTENCIA TECNICA E CALIBRAÇÃO</t>
  </si>
  <si>
    <t>534614-1</t>
  </si>
  <si>
    <t>MANUT. CENTRAL DE VACUO PROT 13.751.358-7</t>
  </si>
  <si>
    <t>ACL</t>
  </si>
  <si>
    <t>638164-1</t>
  </si>
  <si>
    <t xml:space="preserve">INSUMOS E REAGENTES </t>
  </si>
  <si>
    <t>429599-1</t>
  </si>
  <si>
    <t>CONTRATO EMERGENCIAL EMPENHO 15/12/2014</t>
  </si>
  <si>
    <t>HOSPITAL DE OLHOS DO PARANA</t>
  </si>
  <si>
    <t>514686-1</t>
  </si>
  <si>
    <t>HOSPITAL ESPIRITA</t>
  </si>
  <si>
    <t>508747-1</t>
  </si>
  <si>
    <t>J JULIANO CLINICA MEDICA</t>
  </si>
  <si>
    <t>LOTE 04</t>
  </si>
  <si>
    <t>427740-1</t>
  </si>
  <si>
    <t>IDATA DISTRIBUIDORA DE EQUIPAMENTOS DE INFORMATICA</t>
  </si>
  <si>
    <t>522358-2</t>
  </si>
  <si>
    <t>AQUIS. LUVAS DESCART. VIGENCIA 10/09/15 A 09/09/16 PELO DEAM</t>
  </si>
  <si>
    <t>INSTITUTO DE ERGONOMIA</t>
  </si>
  <si>
    <t>533954-1</t>
  </si>
  <si>
    <t>LOTE 50</t>
  </si>
  <si>
    <t>434051-1</t>
  </si>
  <si>
    <t xml:space="preserve"> INSTITUTO MADALENA SOFIA</t>
  </si>
  <si>
    <t>533328-1</t>
  </si>
  <si>
    <t>LOTE 3</t>
  </si>
  <si>
    <t>533736-1</t>
  </si>
  <si>
    <t>LOTE 5</t>
  </si>
  <si>
    <t>LABORATORIO DE ANALISES CLINICAS DAS NAÇÕES</t>
  </si>
  <si>
    <t>410541-1</t>
  </si>
  <si>
    <t>1º TERMO ADDITIVO CT 001/13 VIGENCIA 15/05/14 A 15/05/15</t>
  </si>
  <si>
    <t>434106-1</t>
  </si>
  <si>
    <t>638008-1</t>
  </si>
  <si>
    <t>MATERIAL DE COLETA DE AMOSTRA BIOLÓGICA</t>
  </si>
  <si>
    <t>533737-1</t>
  </si>
  <si>
    <t>LOTE 6</t>
  </si>
  <si>
    <t>INSTITUTO MADALENA SOFIA</t>
  </si>
  <si>
    <t>434092-1</t>
  </si>
  <si>
    <t>533740-1</t>
  </si>
  <si>
    <t>LOTE 10</t>
  </si>
  <si>
    <t>533745-1</t>
  </si>
  <si>
    <t>LOTE 18</t>
  </si>
  <si>
    <t>RECONHECIMENTO DÍVIDA n.f. 497, 13060,87</t>
  </si>
  <si>
    <t>638023-1</t>
  </si>
  <si>
    <t xml:space="preserve">CT 540/2016 INSUMOS E REAGENTES </t>
  </si>
  <si>
    <t>533761-1</t>
  </si>
  <si>
    <t>?</t>
  </si>
  <si>
    <t>533788-1</t>
  </si>
  <si>
    <t>LOTE 22</t>
  </si>
  <si>
    <t>533789-1</t>
  </si>
  <si>
    <t>LOTE 24</t>
  </si>
  <si>
    <t>533809-1</t>
  </si>
  <si>
    <t>LOTE 33</t>
  </si>
  <si>
    <t>533820-1</t>
  </si>
  <si>
    <t>LOTE 38</t>
  </si>
  <si>
    <t>RECONHECIMENTO DÍVIDA n.f. 499, 2424,09</t>
  </si>
  <si>
    <t>533911-1</t>
  </si>
  <si>
    <t>533941-1</t>
  </si>
  <si>
    <t>LOTE 46</t>
  </si>
  <si>
    <t>533960-1</t>
  </si>
  <si>
    <t>434033-1</t>
  </si>
  <si>
    <t>LOTE 03</t>
  </si>
  <si>
    <t>INTER RAD CLINICA DE ONCOLOGIA E QUIMIOTERAPIA</t>
  </si>
  <si>
    <t>509049-1</t>
  </si>
  <si>
    <t>CE 046/15 VIGE. 08/05/15 A 04/11/15</t>
  </si>
  <si>
    <t>533747-1</t>
  </si>
  <si>
    <t>533787-1</t>
  </si>
  <si>
    <t>J.R. EHLKE E CIA</t>
  </si>
  <si>
    <t>503267-1</t>
  </si>
  <si>
    <t>CT 003/15 INSUMOS LABORAT. LOTE 08 PP 023/14 PROT. 13.275.636-8</t>
  </si>
  <si>
    <t>JOHNNY FELIPE CONTESINI DE OLIVEIRA</t>
  </si>
  <si>
    <t>512106-2</t>
  </si>
  <si>
    <t xml:space="preserve">CT 61/15 MATERIAL IONICO VIGENCIA 18/06/15 A 17/06/16 </t>
  </si>
  <si>
    <t>JOHNSON E JOHNSON DO BRASIL</t>
  </si>
  <si>
    <t>513758-1</t>
  </si>
  <si>
    <t>CT 108/15 INSUMOS LABORAT. VIGENCIA 13/07/15 A 12/07/16</t>
  </si>
  <si>
    <t xml:space="preserve">JULI EMPREENDIMENTOS </t>
  </si>
  <si>
    <t>519802-2</t>
  </si>
  <si>
    <t>CT 101/15 MATERIAL COPA E COZINHA VIG 22/07/15 A 21/07/16</t>
  </si>
  <si>
    <t>LCI PRODUTOS DIAGNOSTICOS</t>
  </si>
  <si>
    <t>503266-1</t>
  </si>
  <si>
    <t>CT 001/15 INSUMOS LABORAT PROTOCOLO 13.275.636-8 VIG 26/03/15 A 02/10/2015</t>
  </si>
  <si>
    <t>427749-1</t>
  </si>
  <si>
    <t>434061-1</t>
  </si>
  <si>
    <t>AJMN</t>
  </si>
  <si>
    <t>638182-1</t>
  </si>
  <si>
    <t>AKABINSETO DEDETIZADORA</t>
  </si>
  <si>
    <t>606396-1</t>
  </si>
  <si>
    <t xml:space="preserve">LIMPEZA CAIXA DE AGUA CT 0272016 31/03/16 A 30/03/17 </t>
  </si>
  <si>
    <t>ALL MIX COMERCIAL</t>
  </si>
  <si>
    <t>619570-1</t>
  </si>
  <si>
    <t>PAPEL SULFITE PE 120/2016 DEAM 14.146.257-1</t>
  </si>
  <si>
    <t>ALTERMED MMH LTDA</t>
  </si>
  <si>
    <t>627990-1</t>
  </si>
  <si>
    <t>MATERIAL MEDICO HOSPITALAR  CT 329/16</t>
  </si>
  <si>
    <t>140859       44103,56</t>
  </si>
  <si>
    <t>638249-1</t>
  </si>
  <si>
    <t>P.E. 498/2016 - PASTA GEL E ELETRODO</t>
  </si>
  <si>
    <t>MAISAR CLIMATIZAÇÃO</t>
  </si>
  <si>
    <t>427072-1</t>
  </si>
  <si>
    <t>CE MANUTENÇAO DE AR CONDICIONADO EMP 08/12/14 PROT 12.032.582-5 – PEÇAS</t>
  </si>
  <si>
    <t>427074-1</t>
  </si>
  <si>
    <t>CE MANUTENÇAO DE AR CONDICIONADO EMP 08/12/14 PROT 12.032.582-5 – SERVIÇO</t>
  </si>
  <si>
    <t>MARC MEDICINA</t>
  </si>
  <si>
    <t>434109-1</t>
  </si>
  <si>
    <t>MEDICINA NUCLEAR ALTO DA XV</t>
  </si>
  <si>
    <t>410525-1</t>
  </si>
  <si>
    <t>CE 14/14 VIGENCIA 26/05/14 A 21/11/14</t>
  </si>
  <si>
    <t>NEURO INSTITUTO FOREL</t>
  </si>
  <si>
    <t>434047-1</t>
  </si>
  <si>
    <t>parcial NF 2771</t>
  </si>
  <si>
    <t>PROFILATICA PROD. ODONTO MEDICO HOSPITALARES</t>
  </si>
  <si>
    <t>415253-1</t>
  </si>
  <si>
    <t>CT 20 VIGENCIA 27/05/14 A 26/05/15 – ACIDO PERACETICO E FITA REAGENTE</t>
  </si>
  <si>
    <t>REZENDE E GODOI SERVIÇOS MEDICOS</t>
  </si>
  <si>
    <t>427812-1</t>
  </si>
  <si>
    <t>CE SERVIÇOS DE ORTOPEDIA E TRAUMATOLOGIA PROT 13.005.071-9 EMP 08/12/14</t>
  </si>
  <si>
    <t>ROSSANE SERAFIM MATOS</t>
  </si>
  <si>
    <t>426942-1</t>
  </si>
  <si>
    <t>CE 740/14 DIETAS VIGENCIA 25/11/14 A 24/05/15</t>
  </si>
  <si>
    <t>SAMTRONIC IND. E COMERCIO</t>
  </si>
  <si>
    <t>410526-1</t>
  </si>
  <si>
    <t>APOSTILAMENTO CE 77/14 1000 EQUIPOS VIGENCIA 17/10/13 A 17/10/14</t>
  </si>
  <si>
    <t>SIQUEIRA &amp; REGES</t>
  </si>
  <si>
    <t>434032-1</t>
  </si>
  <si>
    <t>TRANSRESIDUOS TRANSP. DE RESIDUOS INDUSTRIAIS</t>
  </si>
  <si>
    <t>429562-1</t>
  </si>
  <si>
    <t>ADITIVO – PROTOCOLO 13.384.837-1</t>
  </si>
  <si>
    <t>527098-1</t>
  </si>
  <si>
    <t>CT 206/15 INSUMOS URINALISE VIG 20/10/15 A 19/10/16</t>
  </si>
  <si>
    <t>534049-1</t>
  </si>
  <si>
    <t>CT 303/15 INSUMOS HEMATOLOGIA VIG. 18/12/15 A 17/12/16</t>
  </si>
  <si>
    <t>VERIFICAR COM MAJ. VOGLER</t>
  </si>
  <si>
    <t>LITSERV SERVIÇOS</t>
  </si>
  <si>
    <t>510808-2</t>
  </si>
  <si>
    <t>CT 43/15 CLIMATIZAÇÃO VIG 08/06/15 A 07/06/16</t>
  </si>
  <si>
    <t>533956-1</t>
  </si>
  <si>
    <t>MARCHIORI MD SERVIÇOS</t>
  </si>
  <si>
    <t>533934-1</t>
  </si>
  <si>
    <t>REVER 2016</t>
  </si>
  <si>
    <t>525520-1</t>
  </si>
  <si>
    <t>533812-1</t>
  </si>
  <si>
    <t>MERCO SOLUÇÕES EM SAUDE</t>
  </si>
  <si>
    <t>534628-1</t>
  </si>
  <si>
    <t>AQUISIÇAO DE DIETAS PROT. 13.335.281-3 E 13.863.431-0</t>
  </si>
  <si>
    <t>533744-1</t>
  </si>
  <si>
    <t>533807-1</t>
  </si>
  <si>
    <t>633165-1</t>
  </si>
  <si>
    <t>P.E. 498/2016 - TERMOMETRO CLINICO DIGITAL</t>
  </si>
  <si>
    <t>533811-1</t>
  </si>
  <si>
    <t>LOTE 35</t>
  </si>
  <si>
    <t>A P TORTELLI</t>
  </si>
  <si>
    <t>629411-1</t>
  </si>
  <si>
    <t>APARELHO DE BARBEAR PE 072/2016</t>
  </si>
  <si>
    <t>NEUROCLINICA</t>
  </si>
  <si>
    <t>533806-1</t>
  </si>
  <si>
    <t>637431-1</t>
  </si>
  <si>
    <t>SABONETE LIQUIDO P.E. 072-2016</t>
  </si>
  <si>
    <t>BAXTER</t>
  </si>
  <si>
    <t>638116-1</t>
  </si>
  <si>
    <t>P.E. 594/16 MEDICAMENTOS</t>
  </si>
  <si>
    <t>NSK INDUSTRIA E COMERCIO</t>
  </si>
  <si>
    <t>514676-1</t>
  </si>
  <si>
    <t>AQUIS. LAMPADAS E REATORES DEAM PROT. 13.363.454-1</t>
  </si>
  <si>
    <t>NUTRIPORT COMERCIAL</t>
  </si>
  <si>
    <t>534655-1</t>
  </si>
  <si>
    <t>ESTORNAR A DIFERENÇA</t>
  </si>
  <si>
    <t>BECTON &amp; DICKINSON</t>
  </si>
  <si>
    <t>OFTALMOCLINICA</t>
  </si>
  <si>
    <t>631490-1</t>
  </si>
  <si>
    <t>533923-1</t>
  </si>
  <si>
    <t>PATOLOGIA HUMANA DIAGNOSTICO</t>
  </si>
  <si>
    <t>520418-1</t>
  </si>
  <si>
    <t>PAZ PAN INDUSTRIA DE PANIFICAÇÃO</t>
  </si>
  <si>
    <t>533731-1</t>
  </si>
  <si>
    <t>AQUISIÇÃO DE PAO CT 296/15 DEAM PE 145/15 PROT. 13.651.061-4</t>
  </si>
  <si>
    <t>contrato vence em 14/12/16</t>
  </si>
  <si>
    <t>P.E. 444/2016 - SERINGAS</t>
  </si>
  <si>
    <t>PHARMA LOG PRODUTOS FARMACEUTICOS</t>
  </si>
  <si>
    <t>519881-2</t>
  </si>
  <si>
    <t>CT 171/15 MEDICAMENTOS VIGENCIA 17/09/15 A 16/09/16</t>
  </si>
  <si>
    <t>ESTORNAR CONFORME COTATO COM VANESSA</t>
  </si>
  <si>
    <t>PONTTO ONLINE COMERCIAL</t>
  </si>
  <si>
    <t>514673-1</t>
  </si>
  <si>
    <t>AQUISIÇÃO ARROZ E FEIJAO DEAM PROTOCOLO 13.472.650-4</t>
  </si>
  <si>
    <t>PRORAD CONSULTORES EM RADIOPROTEÇÃO</t>
  </si>
  <si>
    <t>510989-1</t>
  </si>
  <si>
    <t>SERVIÇOS DE DOSIMETRIA A RADIAÇÃO</t>
  </si>
  <si>
    <t>CONTRATO ENCERRADO EM AGOSTO/16</t>
  </si>
  <si>
    <t>637808-1</t>
  </si>
  <si>
    <t>P.E. 423/2016 - AGULHAS</t>
  </si>
  <si>
    <t>PRO-VIDA COMERCIO DE EQUIPAMENTOS</t>
  </si>
  <si>
    <t>534661-1</t>
  </si>
  <si>
    <t>ESTONAR</t>
  </si>
  <si>
    <t>PRODIET NUTRIÇÃO CLINICA</t>
  </si>
  <si>
    <t>534658-1</t>
  </si>
  <si>
    <t>638234-1</t>
  </si>
  <si>
    <t>614418-1</t>
  </si>
  <si>
    <t>1 ADITIVO CT 40/15 08/05/16 A 07/05/17</t>
  </si>
  <si>
    <t xml:space="preserve">REDE COMPRE BEM </t>
  </si>
  <si>
    <t>505596-1</t>
  </si>
  <si>
    <t>ALIMENTAÇAO DEAM PE 143/14 PROT. 13.231.189-7 E 13.592.977-8</t>
  </si>
  <si>
    <t>508709-1</t>
  </si>
  <si>
    <t>VALOR RESIDUAL DO EMPENHO 2015</t>
  </si>
  <si>
    <t>HORTIFRUTI E CARNE DEAM PE 021/14 E 01/15 – PROT 13.601.825-6</t>
  </si>
  <si>
    <t>RENTATEC SOLUÇÕES PARA INTERNET</t>
  </si>
  <si>
    <t>504871-1</t>
  </si>
  <si>
    <t>INEX 15/15 CT 28/15 VIGENCIA 22/04/15 A 21/04/16</t>
  </si>
  <si>
    <t>CONTRATO ENCERRADO EM ABRIL/16</t>
  </si>
  <si>
    <t>SELETIVA COMERCIO DE PRODUTOS ALIMENTICIOS</t>
  </si>
  <si>
    <t>505597-1</t>
  </si>
  <si>
    <t>514674-1</t>
  </si>
  <si>
    <t>SINERGICA COMERCIO E SERV. DE INFORMATICA</t>
  </si>
  <si>
    <t>527122-1</t>
  </si>
  <si>
    <t>1 AD DO CT 692/14 VIGENCIA 07/11/15 A 06/11/16</t>
  </si>
  <si>
    <t>533326-1</t>
  </si>
  <si>
    <t xml:space="preserve">TAUTOM COMERCIO </t>
  </si>
  <si>
    <t>534276-1</t>
  </si>
  <si>
    <t>MANUTE. AQUECEDOR DE PASSAGEM VIGENICA 18/12/15 A 17/12/2016</t>
  </si>
  <si>
    <t>BIOSSEG DO BRASIL MANEJO INTEGRADO DE PRAGAS</t>
  </si>
  <si>
    <t>617372-1</t>
  </si>
  <si>
    <t>DEDETIZAÇÃO CT 158 08/06/2016 A 07/06/17</t>
  </si>
  <si>
    <t>TORRES VALPORTO COM. E DIST. DE PROD. MEDICOS</t>
  </si>
  <si>
    <t>508737-1</t>
  </si>
  <si>
    <t>MATERIAL FARMACOLOGICO DEAM  PROT. 13.621.065-3</t>
  </si>
  <si>
    <t>530322-1</t>
  </si>
  <si>
    <t>2º ADITIVO CT 621/13 VIGENCIA 19/12/2015 A 18/12/2016</t>
  </si>
  <si>
    <t>parcial da nf 117620</t>
  </si>
  <si>
    <t>TREZE COMERCIAL</t>
  </si>
  <si>
    <t>505600-1</t>
  </si>
  <si>
    <t>UNI EQUIPAMENTOS MEDICOS</t>
  </si>
  <si>
    <t>BOSTON SCIENTIFIC</t>
  </si>
  <si>
    <t>637357-1</t>
  </si>
  <si>
    <t>CT 482/16 MMH EMERGENCIAL</t>
  </si>
  <si>
    <t>BRASIL COMERCIO DE ALIMENTOS</t>
  </si>
  <si>
    <t>605988-1</t>
  </si>
  <si>
    <t>CARNE BOVINA PE 090/2015 29/03/16 A 28/03/17</t>
  </si>
  <si>
    <t>638436-1</t>
  </si>
  <si>
    <t xml:space="preserve"> PE 942/2016 14.387.468-0 CARNES ENTREGA ÚNICA</t>
  </si>
  <si>
    <t>BSA</t>
  </si>
  <si>
    <t>631684-1</t>
  </si>
  <si>
    <t>S/V</t>
  </si>
  <si>
    <t>PRANCHETAS E SEPARADORES DE PRONTUÁRIOS</t>
  </si>
  <si>
    <t>CAURE INFORMATICA E SUPRIMENTOS</t>
  </si>
  <si>
    <t>624183-1</t>
  </si>
  <si>
    <t>CT 186/16 TONER E CARTUCHOS 29/07/16 A 28/07/17</t>
  </si>
  <si>
    <t>628329-1</t>
  </si>
  <si>
    <t>COPOS DESCARTÁVEIS PE 755/2016</t>
  </si>
  <si>
    <t>605786-1</t>
  </si>
  <si>
    <t>COMPLEMENTO EMPENHO LOTE 27 CRED 01</t>
  </si>
  <si>
    <t>624685-1</t>
  </si>
  <si>
    <t>ADEQUAÇÃO VALOR LOTE 27 CRED 01</t>
  </si>
  <si>
    <t>636585-1</t>
  </si>
  <si>
    <t>2º TA VALOR LOTE 27 CRED 01</t>
  </si>
  <si>
    <t>CENTRO DE RETINA DE CURITIBA</t>
  </si>
  <si>
    <t>615650-1</t>
  </si>
  <si>
    <t>CT 113/16 LOTE 43 CRED 01</t>
  </si>
  <si>
    <t>CIEX</t>
  </si>
  <si>
    <t>638600-1</t>
  </si>
  <si>
    <t>P.E. 454/16 FITA ADESIVA</t>
  </si>
  <si>
    <t>635659-1</t>
  </si>
  <si>
    <t>CIRURGICA CURITIBA</t>
  </si>
  <si>
    <t>627989-1</t>
  </si>
  <si>
    <t>MATERIAL MEDICO HOSPITALAR  CT 328/16</t>
  </si>
  <si>
    <t>512306-1</t>
  </si>
  <si>
    <t>INSUMOS OPUS  30 CT 39/2015 VIGENCIA 23/06/2015 A 21/10/2015</t>
  </si>
  <si>
    <t xml:space="preserve">UROCLINICA </t>
  </si>
  <si>
    <t>533822-1</t>
  </si>
  <si>
    <t>LOTE 39</t>
  </si>
  <si>
    <t>638617-1</t>
  </si>
  <si>
    <t>P.E. 440/16 BOLSAS DE COLOSTOMIA</t>
  </si>
  <si>
    <t>638559-1</t>
  </si>
  <si>
    <t>635627-1</t>
  </si>
  <si>
    <t>CIRURGICA FERNANDES</t>
  </si>
  <si>
    <t>636389-1</t>
  </si>
  <si>
    <t>SONDAS DIVERSAS PE 424/2016</t>
  </si>
  <si>
    <t>638240-1</t>
  </si>
  <si>
    <t>638629-1</t>
  </si>
  <si>
    <t>P.E. 431/2016 - BISTURIS</t>
  </si>
  <si>
    <t>CLIFAME</t>
  </si>
  <si>
    <t>609755-1</t>
  </si>
  <si>
    <t>1 ADITIVO LOTE 46 CRED 01</t>
  </si>
  <si>
    <t>617192-1</t>
  </si>
  <si>
    <t>COMPLEMENTO EMPENHO LOTE 46 CRED 01</t>
  </si>
  <si>
    <t>VICENLAB LABORATORIO DE ANALISES CLINICAS</t>
  </si>
  <si>
    <t>508741-1</t>
  </si>
  <si>
    <t>1º ADITIVO CT 19/2014 VIGENCIA 27/05/15 A 26/05/16</t>
  </si>
  <si>
    <t xml:space="preserve">WGL SOLUÇÕES EM TECNOLOGIAS E SERVIÇOS </t>
  </si>
  <si>
    <t>526408-1</t>
  </si>
  <si>
    <t>CT 183/15 MANUTENÇAO GRUPO GERADOR 19/10/15 A 18/10/16</t>
  </si>
  <si>
    <t>CONTRATO ENCERRADO EM OUTUBRO/16</t>
  </si>
  <si>
    <t>UROCLINICA</t>
  </si>
  <si>
    <t>434087-1</t>
  </si>
  <si>
    <t>410522-1</t>
  </si>
  <si>
    <t>CE 19/14 VIGENCIA 27/05/14 A 26/05/15 – PROTOCOLO 12.000.027-6</t>
  </si>
  <si>
    <t>VMP MEDICOS ASSOCIADOS</t>
  </si>
  <si>
    <t>427731-1</t>
  </si>
  <si>
    <t>LOTE 05 – CIRURGIA GERAL – CRED 01/2014</t>
  </si>
  <si>
    <t>434037-1</t>
  </si>
  <si>
    <t>LOTE 31 – ENDOSCOPIA CRED 01/2014</t>
  </si>
  <si>
    <t>636599-1</t>
  </si>
  <si>
    <t>605795-1</t>
  </si>
  <si>
    <t>COMPLEMENTO EMPENHO LOTE 01 CRED 02</t>
  </si>
  <si>
    <t>615478-1</t>
  </si>
  <si>
    <t>COMPLEMENTO EMPENHO LOTE 28 CRED 01</t>
  </si>
  <si>
    <t>619267-2</t>
  </si>
  <si>
    <t>COMPLEMENTO VALOR LOTE 01 CRED 02</t>
  </si>
  <si>
    <t>623831-1</t>
  </si>
  <si>
    <t>ADEQUAÇÃO VALOR LOTE 01 CRED 02</t>
  </si>
  <si>
    <t>637889-1</t>
  </si>
  <si>
    <t>636614-1</t>
  </si>
  <si>
    <t>2º ADITIVO CT 791/14 LOTE 01</t>
  </si>
  <si>
    <t>624067-1</t>
  </si>
  <si>
    <t>1 ADITIVO CT 118/15 LOTE 47 CRED 01</t>
  </si>
  <si>
    <t>636609-1</t>
  </si>
  <si>
    <t>COMPLEMENTO EMPENHO 1º TA CT 118/15 LOTE 47</t>
  </si>
  <si>
    <t>637887-1</t>
  </si>
  <si>
    <t>1º TA LOTE 01</t>
  </si>
  <si>
    <t>CLINICA DE OLHOS DE CURITIBA E INST. DE CORNEA E CATARATAS</t>
  </si>
  <si>
    <t>622198-2</t>
  </si>
  <si>
    <t>1 ADITIVO CT 48/15 LOTE 43 CRED 01</t>
  </si>
  <si>
    <t>CLINICA EVANGELICO</t>
  </si>
  <si>
    <t>607747-1</t>
  </si>
  <si>
    <t>CT 712/16 HEMODIALISE 15/04/16 A 14/04/17</t>
  </si>
  <si>
    <t>633081-1</t>
  </si>
  <si>
    <t>ADITIVO AO CT 712/16</t>
  </si>
  <si>
    <t>COINTER</t>
  </si>
  <si>
    <t>636390-1</t>
  </si>
  <si>
    <t>613319-1</t>
  </si>
  <si>
    <t>REPACTUAÇAO  13.868.255-2</t>
  </si>
  <si>
    <t>633650-1</t>
  </si>
  <si>
    <t xml:space="preserve">CT 385/16 GLP </t>
  </si>
  <si>
    <t>733649-1</t>
  </si>
  <si>
    <t>CT 552/17 - MMH</t>
  </si>
  <si>
    <t>733643-1</t>
  </si>
  <si>
    <t>CT 554/17 - MMH</t>
  </si>
  <si>
    <t>ACONSERMED</t>
  </si>
  <si>
    <t>710640-2</t>
  </si>
  <si>
    <t>MANUTENÇÃO PROCESSADORA RAIO-X</t>
  </si>
  <si>
    <t>712551-2</t>
  </si>
  <si>
    <t>COMPLEMENTO - MANUTENÇÃO PROCESSADORA RAIO-X</t>
  </si>
  <si>
    <t>708894-2</t>
  </si>
  <si>
    <t>1º TA DO CT 027/16</t>
  </si>
  <si>
    <t>ÁGUA MINERAL TIMBU</t>
  </si>
  <si>
    <t>718915-2</t>
  </si>
  <si>
    <t>PE 544/2016 CT 093/2017</t>
  </si>
  <si>
    <t>ALG RIO</t>
  </si>
  <si>
    <t>705976-3</t>
  </si>
  <si>
    <t>P.E. 1060 - EPI - ENTREGA ÚNICA</t>
  </si>
  <si>
    <t>626111-1</t>
  </si>
  <si>
    <t>1º aditivo CT 170/15 VIGENCIA 11/09/16 A 10/09/17</t>
  </si>
  <si>
    <t>ALTERMED</t>
  </si>
  <si>
    <t>715848-2</t>
  </si>
  <si>
    <t>P.E 1223/16 MATERIAIS ESTERILIZANTES ENTREGA ÚNICA</t>
  </si>
  <si>
    <t>ALTA COMERCIAL</t>
  </si>
  <si>
    <t>636592-1</t>
  </si>
  <si>
    <t>2º ADITIVO CT 789/14 LOTE 45</t>
  </si>
  <si>
    <t>719040-2</t>
  </si>
  <si>
    <t>HORTUFRUTI PE 1412/2016 CT 227/17</t>
  </si>
  <si>
    <t>617389-1</t>
  </si>
  <si>
    <t>3 ADITIVO  10/06/2016 A 09/06/2017</t>
  </si>
  <si>
    <t>CREMER S/A</t>
  </si>
  <si>
    <t>632533-1</t>
  </si>
  <si>
    <t>PE 426/2016 - COMPRESSAS E ATADURAS</t>
  </si>
  <si>
    <t>638509-1</t>
  </si>
  <si>
    <t>P.E. 426/2016 - COMPRESSAS E ATADURAS</t>
  </si>
  <si>
    <t>638633-1</t>
  </si>
  <si>
    <t>CRISTALIA PRODUTOS QUIMICOS E FARMACEUTICOS</t>
  </si>
  <si>
    <t>623276-2</t>
  </si>
  <si>
    <t>MEDICAMENTOS PE 230/2016 03/03/2016 A 02/03/2017</t>
  </si>
  <si>
    <t>DAL IMAGEM NUCLEO DE IMAGEM E DOCUM. ODONTOLOGICA</t>
  </si>
  <si>
    <t>623274-2</t>
  </si>
  <si>
    <t>COMPLEMENTO EMPENHO LOTE 44 CRED 01</t>
  </si>
  <si>
    <t xml:space="preserve">DANNA COMERCIAL </t>
  </si>
  <si>
    <t>624722-1</t>
  </si>
  <si>
    <t>MATERIAL HIGIENE E LIMPEZA DEAM 14.237.234-7</t>
  </si>
  <si>
    <t>624724-1</t>
  </si>
  <si>
    <t>610405-1</t>
  </si>
  <si>
    <t>TIRAS E LANCETAS PE 249/15 06/05/2016 A 05/05/2017</t>
  </si>
  <si>
    <t>622204-2</t>
  </si>
  <si>
    <t>CT 199/16 EMERGENCIAL 20/07/2016 A 16/01/2017</t>
  </si>
  <si>
    <t>623277-2</t>
  </si>
  <si>
    <t>MEDICAMENTOS PE 230/16 14.168.654-2</t>
  </si>
  <si>
    <t>631489-1</t>
  </si>
  <si>
    <t>632531-1</t>
  </si>
  <si>
    <t>632515-1</t>
  </si>
  <si>
    <t>PE 494/16 SCALP E CATETER</t>
  </si>
  <si>
    <t>637368-1</t>
  </si>
  <si>
    <t>CT 481/16 MMH EMERGENCIAL</t>
  </si>
  <si>
    <t>638232-1</t>
  </si>
  <si>
    <t>638494-1</t>
  </si>
  <si>
    <t>DSYSLAB</t>
  </si>
  <si>
    <t>638151-1</t>
  </si>
  <si>
    <t>INSUMOS E REAGENTES</t>
  </si>
  <si>
    <t>733920-1</t>
  </si>
  <si>
    <t>725697-2</t>
  </si>
  <si>
    <t>AQUISIÇÃO GENEROS ALIMENTICIOS PE 246/17</t>
  </si>
  <si>
    <t>724154-2</t>
  </si>
  <si>
    <t>AQUISIÇÃO GENEROS ALIMENTICIOS PE 1469/16</t>
  </si>
  <si>
    <t>730700-2</t>
  </si>
  <si>
    <t>AQUISIÇÃO ARROZ PE 1142/16 CT 371/17</t>
  </si>
  <si>
    <t>638031-1</t>
  </si>
  <si>
    <t>ANGULAR</t>
  </si>
  <si>
    <t>728127-2</t>
  </si>
  <si>
    <t>CT 541/2016 - INSUMOS E REAGENTES</t>
  </si>
  <si>
    <t>CT 446/17 FIOS DE SUTURA</t>
  </si>
  <si>
    <t>ANDIPEL</t>
  </si>
  <si>
    <t>715027-2</t>
  </si>
  <si>
    <t>MATERIAL EXPEDIENTE P.E. 1474/16 ENTREGA ÚNICA</t>
  </si>
  <si>
    <t>A.P TORTELLI</t>
  </si>
  <si>
    <t>725572-2</t>
  </si>
  <si>
    <t>AQUISIÇÃO DIETAS SUPLEMENTOS  MÓDULOS PE 1461/16</t>
  </si>
  <si>
    <t>730521-2</t>
  </si>
  <si>
    <t>AQUISIÇÃO INSUMOS P/ DIETAS ESPECIAIS PE 1266/16</t>
  </si>
  <si>
    <t>ATHOS</t>
  </si>
  <si>
    <t>720663-2</t>
  </si>
  <si>
    <t>CT 144/17 - CAMPOS CIRURGICOS</t>
  </si>
  <si>
    <t>721342-2</t>
  </si>
  <si>
    <t>CURATIVOS ESPECIAIS P.E. 009/17 ENTREGA ÚNICA</t>
  </si>
  <si>
    <t>DUTRAMED DISTRIBUIDORA</t>
  </si>
  <si>
    <t>624176-1</t>
  </si>
  <si>
    <t>728145-2</t>
  </si>
  <si>
    <t xml:space="preserve">CONTRATO 235/16 FIOS CIRURGICOS </t>
  </si>
  <si>
    <t>CT 447/17 FIOS DE SUTURA</t>
  </si>
  <si>
    <t>AUTO MECANICA</t>
  </si>
  <si>
    <t>711414-2</t>
  </si>
  <si>
    <t>PNEUS E CÂMARAS - ENTREGA ÚNICA</t>
  </si>
  <si>
    <t>708776-2</t>
  </si>
  <si>
    <t>2º TA DO CT 781/14 - LOTE 29</t>
  </si>
  <si>
    <t>710878-2</t>
  </si>
  <si>
    <t>COMPLEMENTO 2º TA DO CT 781/14 - LOTE 29</t>
  </si>
  <si>
    <t>719215-2</t>
  </si>
  <si>
    <t>728273-2</t>
  </si>
  <si>
    <t xml:space="preserve"> 2º TA DO CT 781/14 - LOTE 41</t>
  </si>
  <si>
    <t>710814-2</t>
  </si>
  <si>
    <t>AGULHAS DECARTAVEIS PE 423/16 - ENTREGA ÚNICA</t>
  </si>
  <si>
    <t>BEDUSCHI</t>
  </si>
  <si>
    <t>702609-2</t>
  </si>
  <si>
    <t>CT 011/17 MANUTENÇÃO COMPUTADORES</t>
  </si>
  <si>
    <t>2017/36</t>
  </si>
  <si>
    <t>2017/59</t>
  </si>
  <si>
    <t>2017/67</t>
  </si>
  <si>
    <t>2017/91</t>
  </si>
  <si>
    <t>2017/93</t>
  </si>
  <si>
    <t>BH COMERCIO</t>
  </si>
  <si>
    <t>708794-2</t>
  </si>
  <si>
    <t>MMH - DIVERSOS</t>
  </si>
  <si>
    <t>BIO IMPLANTES</t>
  </si>
  <si>
    <t>708780-2</t>
  </si>
  <si>
    <t>ESPECULOS E FIOS DE KIRSCHNER - P.E. 1633/2016 - ENTREGA ÚNICA</t>
  </si>
  <si>
    <t>710715-2</t>
  </si>
  <si>
    <t>TELAS CIRURGICAS P.E. 1654/2016 - ENTREGA ÚNICA</t>
  </si>
  <si>
    <t>700983-2</t>
  </si>
  <si>
    <t>710602-2</t>
  </si>
  <si>
    <t>2 ADITIVO CT 40/15 08/05/17 A 07/05/18</t>
  </si>
  <si>
    <t>712575-2</t>
  </si>
  <si>
    <t>COMPLEMENTO 2 ADITIVO CT 40/15 08/05/17 A 07/05/18</t>
  </si>
  <si>
    <t>730390-2</t>
  </si>
  <si>
    <t>BIOLINE</t>
  </si>
  <si>
    <t>710784-2</t>
  </si>
  <si>
    <t>FIOS DE SUTURA P.E. 770/16 - ENTREGA ÚNICA</t>
  </si>
  <si>
    <t>731635-1</t>
  </si>
  <si>
    <t>622203-2</t>
  </si>
  <si>
    <t>EMERGENCIAL 20/07/16A 16/01/2017 CT 198/2016</t>
  </si>
  <si>
    <t>FIOS DE KISCHENER P.E. 1633/16 - PARTICIPANTE</t>
  </si>
  <si>
    <t>632513-1</t>
  </si>
  <si>
    <t>708895-2</t>
  </si>
  <si>
    <t>1º TA DO CT 158/16</t>
  </si>
  <si>
    <t>BIOVALIC</t>
  </si>
  <si>
    <t>637387-1</t>
  </si>
  <si>
    <t>728026-2</t>
  </si>
  <si>
    <t>CT 478/16 MMH EMERGENCIAL</t>
  </si>
  <si>
    <t>MATERIAIS ESTERILIZANTES P.E. 1223/2016 - ENTREGA ÚNICA</t>
  </si>
  <si>
    <t>BORINI</t>
  </si>
  <si>
    <t>710738-2</t>
  </si>
  <si>
    <t>728025-2</t>
  </si>
  <si>
    <t>BRASIL COMÉRCIO</t>
  </si>
  <si>
    <t>718008-2</t>
  </si>
  <si>
    <t>AQUISIÇÃO CARNES PE 942/16</t>
  </si>
  <si>
    <t>726997-2</t>
  </si>
  <si>
    <t>BRUNA DIENE</t>
  </si>
  <si>
    <t>716970-2</t>
  </si>
  <si>
    <t>PE 21763/16 - AQUISIÇÃO PÃES</t>
  </si>
  <si>
    <t>636397-1</t>
  </si>
  <si>
    <t>ELEVADORES CONISTEL</t>
  </si>
  <si>
    <t>625893-1</t>
  </si>
  <si>
    <t>1 ADITIVO CT 125/15 MANUTENÇAO ELEVADOR 19/07/2016 A 18/07/17</t>
  </si>
  <si>
    <t>BUFFALO</t>
  </si>
  <si>
    <t>721311-2</t>
  </si>
  <si>
    <t>CT 232/17 - SERVIÇOS DE CHAVEIRO</t>
  </si>
  <si>
    <t>CCP MED</t>
  </si>
  <si>
    <t>728027-2</t>
  </si>
  <si>
    <t>708772-2</t>
  </si>
  <si>
    <t>2º TA DO CT 001/2014 LOTE 42</t>
  </si>
  <si>
    <t>720548-2</t>
  </si>
  <si>
    <t>COMPLEMENTO 2º TA DO CT 001/2014 LOTE 42</t>
  </si>
  <si>
    <t>37/7</t>
  </si>
  <si>
    <t>EMS S/A</t>
  </si>
  <si>
    <t>623275-2</t>
  </si>
  <si>
    <t>705980-2</t>
  </si>
  <si>
    <t>COMPLEMENTO 2º TA DO CT 780/14 - LOTE 27</t>
  </si>
  <si>
    <t>ENDOCIRURGICA COMERCIO DE PRODUTOS MEDICOS</t>
  </si>
  <si>
    <t>606935-1</t>
  </si>
  <si>
    <t>GRAMPEADORES ENDOSCOPICOS CT 101/16 08/04/16 A 07/04/17</t>
  </si>
  <si>
    <t>ESTERIFLEX COMERCIO E SERVIÇOS PARA SAUDE</t>
  </si>
  <si>
    <t>624405-1</t>
  </si>
  <si>
    <t>1 ADITIVO CT 139/15 ESTERILIZAÇÃO 04/08/16 A 03/08/17</t>
  </si>
  <si>
    <t>ESTORNADO 5.594,40</t>
  </si>
  <si>
    <t>FABESUL COMERCIO DE SUPRIMENTOS</t>
  </si>
  <si>
    <t>619569-1</t>
  </si>
  <si>
    <t>FORTECOM COMERCIAL</t>
  </si>
  <si>
    <t>624696-1</t>
  </si>
  <si>
    <t xml:space="preserve">SACOS PLASTICOS PE 222/16 14.236.993-1 </t>
  </si>
  <si>
    <t>624702-1</t>
  </si>
  <si>
    <t>FRESENIUS</t>
  </si>
  <si>
    <t>638121-1</t>
  </si>
  <si>
    <t>GABISA MEDICAL INTERNATIONAL</t>
  </si>
  <si>
    <t>624177-1</t>
  </si>
  <si>
    <t>CT 233/16 CATETER 08/08/2016 A 07/08/2017</t>
  </si>
  <si>
    <t>HALEX</t>
  </si>
  <si>
    <t>638099-1</t>
  </si>
  <si>
    <t>HMD</t>
  </si>
  <si>
    <t>631311-1</t>
  </si>
  <si>
    <t>LOTE 01 CRED 001/16</t>
  </si>
  <si>
    <t>631312-1</t>
  </si>
  <si>
    <t>LOTE 02 CRED 001/16</t>
  </si>
  <si>
    <t>HOLLISTER</t>
  </si>
  <si>
    <t>638616-1</t>
  </si>
  <si>
    <t>622167-2</t>
  </si>
  <si>
    <t>1 ADITIVO CT 47/15 LOTE 43 CRED 01</t>
  </si>
  <si>
    <t>HOSPITAL ESPIRITA DE PSIQUIATRIA BOM RETIRO</t>
  </si>
  <si>
    <t>615361-1</t>
  </si>
  <si>
    <t>1 ADITIVO CT 31/15 CRED 02/2014</t>
  </si>
  <si>
    <t>HRA SARGI</t>
  </si>
  <si>
    <t>633061-1</t>
  </si>
  <si>
    <t>CT 149/16 P.E. 308/15 CAFÉ</t>
  </si>
  <si>
    <t>IMPORT SERVICE MATERIAL MEDICO HOSPITALAR</t>
  </si>
  <si>
    <t>624178-1</t>
  </si>
  <si>
    <t>CT 234/16 CATETER 08/08/2016 A 07/08/2017</t>
  </si>
  <si>
    <t>637405-1</t>
  </si>
  <si>
    <t>CT 475/16 MMH EMERGENCIAL</t>
  </si>
  <si>
    <t>INGALAB</t>
  </si>
  <si>
    <t>638005-1</t>
  </si>
  <si>
    <t>A EMPENHAR EM 2017</t>
  </si>
  <si>
    <t>EMPENHADO/SALDO</t>
  </si>
  <si>
    <t>CRED. 001/2014</t>
  </si>
  <si>
    <t>TETO</t>
  </si>
  <si>
    <t>OBS</t>
  </si>
  <si>
    <t>SALDO</t>
  </si>
  <si>
    <t>ANO EMP.</t>
  </si>
  <si>
    <t>VENC. CONT.</t>
  </si>
  <si>
    <t>FISIOMED - Clinica de Medicina Fisica e Reabilitação de Curitiba</t>
  </si>
  <si>
    <t>CMI</t>
  </si>
  <si>
    <t>710845-2</t>
  </si>
  <si>
    <t>2º TA DO CT 787/14 - LOTE 27</t>
  </si>
  <si>
    <t>CENTRO DE ONCOLOGIA</t>
  </si>
  <si>
    <t>712469-2</t>
  </si>
  <si>
    <t>LOTE 05</t>
  </si>
  <si>
    <t>CT 532/16 - LOTE ÚNICO - CRED 002/16</t>
  </si>
  <si>
    <t>Rsarraff</t>
  </si>
  <si>
    <t>LOTE 05,06,07 E 10</t>
  </si>
  <si>
    <t>Irmandade Santa Casa de Misericordia de Curitiba</t>
  </si>
  <si>
    <t>xxxxxxx</t>
  </si>
  <si>
    <t>xxxxxx</t>
  </si>
  <si>
    <t>LOTE 07</t>
  </si>
  <si>
    <t>700678-3</t>
  </si>
  <si>
    <t>SORBITOL+MANITOL P.E. 1028/16 CT 447/16</t>
  </si>
  <si>
    <t>708769-2</t>
  </si>
  <si>
    <t>LOTE 17</t>
  </si>
  <si>
    <t>712570-2</t>
  </si>
  <si>
    <t>COMPLEMENTO - SORBITOL+MANITOL P.E. 1028/16 CT 447/16</t>
  </si>
  <si>
    <t>720666-2</t>
  </si>
  <si>
    <t>CT 145/17 - CAMPOS CIRURGICOS</t>
  </si>
  <si>
    <t>Neuro Instituto Forel</t>
  </si>
  <si>
    <t>2014/2015/2017</t>
  </si>
  <si>
    <t>733916-1</t>
  </si>
  <si>
    <t>COMP. CT 145/17 - CAMPOS CIRURGICOS</t>
  </si>
  <si>
    <t>710797-2</t>
  </si>
  <si>
    <t>SONDAS DIVERSAS PE 424/16 - ENTREGA ÚNICA</t>
  </si>
  <si>
    <t>CISABRASILE</t>
  </si>
  <si>
    <t>728028-2</t>
  </si>
  <si>
    <t>708891-2</t>
  </si>
  <si>
    <t>2º TA DO CT 029/2015 LOTE 46</t>
  </si>
  <si>
    <t>PMG SERVIÇOS MÉDICOS S/S</t>
  </si>
  <si>
    <t>708817-2</t>
  </si>
  <si>
    <t>Centro Diagnostico Agua Verde</t>
  </si>
  <si>
    <t>2014/2015</t>
  </si>
  <si>
    <t>J &amp; Juliano Clinica Medica</t>
  </si>
  <si>
    <t>710849-2</t>
  </si>
  <si>
    <t>COMPLEMENTO 2º TA DO CT 029/2015 LOTE 46</t>
  </si>
  <si>
    <t>Eli Serviços Medicos</t>
  </si>
  <si>
    <t>711888-2</t>
  </si>
  <si>
    <t>parcial da nf 2300</t>
  </si>
  <si>
    <t>721315-2</t>
  </si>
  <si>
    <t>Gerhardt &amp; Hota</t>
  </si>
  <si>
    <t>702016-2</t>
  </si>
  <si>
    <t>COMPLEMENTO 2º ADITIVO CT 791/14 LOTE 01</t>
  </si>
  <si>
    <t>LOTE 27</t>
  </si>
  <si>
    <t>708777-2</t>
  </si>
  <si>
    <t>Prima Medicina Radiologia e diagnostico ltda</t>
  </si>
  <si>
    <t>710875-2</t>
  </si>
  <si>
    <t>2º ADITIVO CT 791/14 LOTE 28</t>
  </si>
  <si>
    <t>720510-2</t>
  </si>
  <si>
    <t>COMPLEMENTO 2º ADITIVO CT 791/14 LOTE 28</t>
  </si>
  <si>
    <t>LOTE 28</t>
  </si>
  <si>
    <t>Hospital Cardiologico Constantini</t>
  </si>
  <si>
    <t>Quanta - Medicina Nuclear Alto da XV</t>
  </si>
  <si>
    <t>710871-2</t>
  </si>
  <si>
    <t>LOTE 29</t>
  </si>
  <si>
    <t>AW ASSISTENCIA A SAÚDE</t>
  </si>
  <si>
    <t>LOTE 36</t>
  </si>
  <si>
    <t>INJEX INDUSTRIAS CIRURGICAS</t>
  </si>
  <si>
    <t>610514-1</t>
  </si>
  <si>
    <t>CT 136/2016 TIRAS LANCETAS 06/05/2016 A 05/05/2017</t>
  </si>
  <si>
    <t>CLINICA CMI</t>
  </si>
  <si>
    <t>725679-2</t>
  </si>
  <si>
    <t>CT 383/2017 LOTE 01 CRED 001/14</t>
  </si>
  <si>
    <t>725622-2</t>
  </si>
  <si>
    <t>725629-2</t>
  </si>
  <si>
    <t>CT 383/2017 LOTE 03 CRED 001/14</t>
  </si>
  <si>
    <t>725632-2</t>
  </si>
  <si>
    <t>CT 383/2017 LOTE 07 CRED 001/14</t>
  </si>
  <si>
    <t>708782-2</t>
  </si>
  <si>
    <t>Uroclinica</t>
  </si>
  <si>
    <t>617177-2</t>
  </si>
  <si>
    <t>ESTORNADO 100.000,00</t>
  </si>
  <si>
    <t>2015/2017</t>
  </si>
  <si>
    <t>LOTE 41</t>
  </si>
  <si>
    <t>AW Saude</t>
  </si>
  <si>
    <t>710864-2</t>
  </si>
  <si>
    <t>INTERSUL EQUIPAMENTOS E SERVIÇOS HOSPITALARES</t>
  </si>
  <si>
    <t>600626-1</t>
  </si>
  <si>
    <t>CT 339/2015 AR COMPRIMIDO 22/12/2015 A 21/12/2016</t>
  </si>
  <si>
    <t>ESTORNADO 17.200,03</t>
  </si>
  <si>
    <t>Patologia Humana Diagnostica e Pesquisa</t>
  </si>
  <si>
    <t>parcial da NF 1260</t>
  </si>
  <si>
    <t>717883-2</t>
  </si>
  <si>
    <t>EMPENHO 2º TA CT 118/15 LOTE 47</t>
  </si>
  <si>
    <t>2016/17</t>
  </si>
  <si>
    <t>708781-3</t>
  </si>
  <si>
    <t>COMPLEMENTO EMPENHO 1º TA CT 118/15 LOTE 01</t>
  </si>
  <si>
    <t>Byori Laboratorio de Histopatologia e Citopatologia</t>
  </si>
  <si>
    <t>CITOPAR - Centro de Citologia e patologia Paraná LTDA</t>
  </si>
  <si>
    <t>717882-2</t>
  </si>
  <si>
    <t>EMPENHO 2º TA CT 118/15 LOTE 01</t>
  </si>
  <si>
    <t>Oftalmoclinica CWB ltda</t>
  </si>
  <si>
    <t>parcial nf 1279</t>
  </si>
  <si>
    <t>723985-2</t>
  </si>
  <si>
    <t>COMPLEMENTO EMPENHO 2º TA CT 118/15 LOTE 01</t>
  </si>
  <si>
    <t>Hospital de Olhos</t>
  </si>
  <si>
    <t>708890-2</t>
  </si>
  <si>
    <t>1º TA AO CT 128/16</t>
  </si>
  <si>
    <t>Dal Imagem - Nucleo de Imagem e Documentação Odontologica</t>
  </si>
  <si>
    <t>720542-2</t>
  </si>
  <si>
    <t>COMPLEMENTO 2º TA AO CT 712/16</t>
  </si>
  <si>
    <t>710799-2</t>
  </si>
  <si>
    <t>COMEPAR</t>
  </si>
  <si>
    <t>724151-2</t>
  </si>
  <si>
    <t>Marchiori MD Serviços Medicos</t>
  </si>
  <si>
    <t>AQUISIÇÃO GENEROS ALIMENTICIOS CT 245/17</t>
  </si>
  <si>
    <t>730701-2</t>
  </si>
  <si>
    <t>AQUISIÇÃO ARROZ PE 1142/16 CT 420/17</t>
  </si>
  <si>
    <t>COMERCIAL ONIX</t>
  </si>
  <si>
    <t>708801-2</t>
  </si>
  <si>
    <t>PRODUTOS DE LIMPEZA - PE 633/16 - ENTREGA ÚNICA</t>
  </si>
  <si>
    <t>Clifame Ltda</t>
  </si>
  <si>
    <t>715042-2</t>
  </si>
  <si>
    <t>CONCORDE</t>
  </si>
  <si>
    <t>710822-2</t>
  </si>
  <si>
    <t>ALIMENTOS EM SACHÊ CT 86/17</t>
  </si>
  <si>
    <t>708798-2</t>
  </si>
  <si>
    <t>LOTE 47</t>
  </si>
  <si>
    <t>Instituto de Ergonomia do Parana</t>
  </si>
  <si>
    <t>705982-2</t>
  </si>
  <si>
    <t>COMPLEMENTO 1º TA DO CT 170/15 ENGENHARIA CLINICA</t>
  </si>
  <si>
    <t>Marc Medicina do Trabalho Ltda</t>
  </si>
  <si>
    <t>CRED. Nº 002/2014</t>
  </si>
  <si>
    <t>VALOR</t>
  </si>
  <si>
    <t>725691-2</t>
  </si>
  <si>
    <t>2º TA DO CT 170/15 ENGENHARIA CLINICA</t>
  </si>
  <si>
    <t>708778-3</t>
  </si>
  <si>
    <t>COMPLEMENTO 2º ADITIVO CT 789/14 LOTE 45</t>
  </si>
  <si>
    <t>IRMANDADE SANTA CASA DE MISERICORDIA</t>
  </si>
  <si>
    <t>2016/2017</t>
  </si>
  <si>
    <t>605792-1</t>
  </si>
  <si>
    <t>624431-1</t>
  </si>
  <si>
    <t>Hospital Espirita de Psiquiatria Bom Retiro</t>
  </si>
  <si>
    <t>708893-3</t>
  </si>
  <si>
    <t>633768-1</t>
  </si>
  <si>
    <t>CT 396/16 LOTE 17 CRED 01</t>
  </si>
  <si>
    <t>710859-2</t>
  </si>
  <si>
    <t>CRED. Nº 001/2016</t>
  </si>
  <si>
    <t>HMD SERVIÇOS MEDICOS LTDA</t>
  </si>
  <si>
    <t>720507-2</t>
  </si>
  <si>
    <t>ISWARA</t>
  </si>
  <si>
    <t>638215-1</t>
  </si>
  <si>
    <t>542/16 INSUMOS PARA LAVANDERIA</t>
  </si>
  <si>
    <t>624303-1</t>
  </si>
  <si>
    <t>COMPLEMENTO EMPENHO LOTE 22 CRED 01</t>
  </si>
  <si>
    <t>617361-1</t>
  </si>
  <si>
    <t>CT 116/2016 REAGENTES 17/06/2016 A 16/06/2017</t>
  </si>
  <si>
    <t>CRED. Nº 002/2016</t>
  </si>
  <si>
    <t>LOTE ÚNICO</t>
  </si>
  <si>
    <t>CENTRO DE ONCOLOGIA DO PARANA</t>
  </si>
  <si>
    <t>MULTISAÚDE</t>
  </si>
  <si>
    <t>CRED. Nº °001/2017</t>
  </si>
  <si>
    <t>LOTE ÚNICO MATERNIDADE</t>
  </si>
  <si>
    <t>MANUTENÇÃO</t>
  </si>
  <si>
    <t>MANUTENÇÃO PREDIAL</t>
  </si>
  <si>
    <t>TECNILINE TELECOMUNICAÇÕES E INFORMATICA LTDA</t>
  </si>
  <si>
    <t>LIMPEZA CAIXA D'ÁGUA</t>
  </si>
  <si>
    <t xml:space="preserve">AKABINSETO DETETIZADORA LTDA - ME </t>
  </si>
  <si>
    <t>ENGENHARIA CLINICA</t>
  </si>
  <si>
    <t>Conemed Service Manutenção de Equipamentos Hospitalares</t>
  </si>
  <si>
    <t>AR CONDICIONADO</t>
  </si>
  <si>
    <t>Emerson Ferreira</t>
  </si>
  <si>
    <t>ELEVADORES</t>
  </si>
  <si>
    <t>Elevadores Conistel Ltda</t>
  </si>
  <si>
    <t>AQUECEDOR DE PASSAGEM</t>
  </si>
  <si>
    <t>TAUTON</t>
  </si>
  <si>
    <t>SERVIÇOS CHAVEIRO</t>
  </si>
  <si>
    <t>AR COMPRIMIDO</t>
  </si>
  <si>
    <t>INTERSUL</t>
  </si>
  <si>
    <t>HOTELARIA</t>
  </si>
  <si>
    <t>JOHNNY FELIPE CONTESINI</t>
  </si>
  <si>
    <t>633667-1</t>
  </si>
  <si>
    <t>CT 379/16 CONTRASTE RADIOLÓGICO</t>
  </si>
  <si>
    <t>COSTA OESTE</t>
  </si>
  <si>
    <t>636098-1</t>
  </si>
  <si>
    <t>KITS FIXADORES - ENTREGA ÚNICA</t>
  </si>
  <si>
    <t>Costa Oeste Serviços de limpeza LTDA</t>
  </si>
  <si>
    <t>KELLI A D S MINIOLLI COMERCIO DE PRODUTOS</t>
  </si>
  <si>
    <t>624723-1</t>
  </si>
  <si>
    <t>COLETA RESÍDUOS</t>
  </si>
  <si>
    <t>Bio Residuos Transportes (BIO ACCESS)</t>
  </si>
  <si>
    <t>LABORATORIOS B. BRAUN</t>
  </si>
  <si>
    <t>632514-1</t>
  </si>
  <si>
    <t>DEDETIZAÇÃO E DESRATIZAÇÃO</t>
  </si>
  <si>
    <t>LABORSYS PROD. DIAGNOSTICOS E HOSPITALARES</t>
  </si>
  <si>
    <t>Biosseg Controle de Pragas</t>
  </si>
  <si>
    <t>621717-2</t>
  </si>
  <si>
    <t>CT 206/2016 REAGENTES 20/07/16 A 19/07/17</t>
  </si>
  <si>
    <t>COLETA RESÍDUOS ORGANICOS</t>
  </si>
  <si>
    <t>TRANSRESÍDUOS</t>
  </si>
  <si>
    <t>2015/2016</t>
  </si>
  <si>
    <t>CDI</t>
  </si>
  <si>
    <t>MANUTENÇÃO PROCESSADORA RAIO X</t>
  </si>
  <si>
    <t>INDENIZAÇÃO MANUTENÇÃO RX-P E CENOS-P</t>
  </si>
  <si>
    <t>TECNOMED COMERCIO E ASSISTENCIA TECNICA EM EQUIPAMENTOS</t>
  </si>
  <si>
    <t>DOSIMETRIA</t>
  </si>
  <si>
    <t>Pro Rad e Proteção Radiologica</t>
  </si>
  <si>
    <t>TI</t>
  </si>
  <si>
    <t>MANUTENÇÃO IMPRESSORAS</t>
  </si>
  <si>
    <t>HOT SWAP</t>
  </si>
  <si>
    <t>MANUTENÇÃO EQUIPAMENTOS INFORMATICA</t>
  </si>
  <si>
    <t>Beduschi Serviços em Informática Eireli</t>
  </si>
  <si>
    <t>LABORATÓRIO</t>
  </si>
  <si>
    <t>EXAMES LABORATORIAIS</t>
  </si>
  <si>
    <t>Vicenlab Laboratório de Analise Clinicas LTDA</t>
  </si>
  <si>
    <t>CONTROLE DE QUALIDADE</t>
  </si>
  <si>
    <t>Programa Nacional de Controle de Qualidade LTDA</t>
  </si>
  <si>
    <t>PROGRAMA ESMERALDA</t>
  </si>
  <si>
    <t>SINERGICA</t>
  </si>
  <si>
    <t>EQUIPAMENTO HEMATO</t>
  </si>
  <si>
    <t>Laborsys Prod. Diag.</t>
  </si>
  <si>
    <t>EQUIPAMENTO TIRAS</t>
  </si>
  <si>
    <t>LCI</t>
  </si>
  <si>
    <t>UTI</t>
  </si>
  <si>
    <t>HEMODIÁLISE</t>
  </si>
  <si>
    <t>Clinica Evangelico Ltda</t>
  </si>
  <si>
    <t>CC</t>
  </si>
  <si>
    <t>ESTERILIZAÇÃO</t>
  </si>
  <si>
    <t>Esteriflex Com. E Serv. De Prod. Para Saúde</t>
  </si>
  <si>
    <t>SALDO TOTAL</t>
  </si>
  <si>
    <t>COSMODERMA</t>
  </si>
  <si>
    <t>701115-2</t>
  </si>
  <si>
    <t>P.E. 177/16 EPI´S</t>
  </si>
  <si>
    <t>701816-2</t>
  </si>
  <si>
    <t>COMPLEMENTO DO 3º TA DO CT 124/2013</t>
  </si>
  <si>
    <t>705979-2</t>
  </si>
  <si>
    <t>717880-2</t>
  </si>
  <si>
    <t>4º TA DO CT 124/2013</t>
  </si>
  <si>
    <t>726766-2</t>
  </si>
  <si>
    <t>COMPLEMENTO 4º TA DO CT 124/2013</t>
  </si>
  <si>
    <t>710638-2</t>
  </si>
  <si>
    <t>ACESSÓRIOS PARA INFUSÃO P.E. 537/16 ENTREGA ÚNICA</t>
  </si>
  <si>
    <t>CV MEDICAL</t>
  </si>
  <si>
    <t>728133-2</t>
  </si>
  <si>
    <t>CT 449/17 FIOS DE SUTURA</t>
  </si>
  <si>
    <t>731634-1</t>
  </si>
  <si>
    <t>702000-2</t>
  </si>
  <si>
    <t>2º TA DO CT 802/2014 LOTE 44</t>
  </si>
  <si>
    <t>724025-2</t>
  </si>
  <si>
    <t>3º TA DO CT 802/2014 LOTE 44</t>
  </si>
  <si>
    <t>SALDO NEGATIVO DO 2º TA</t>
  </si>
  <si>
    <t>DANIEL OZEAS</t>
  </si>
  <si>
    <t>711961-2</t>
  </si>
  <si>
    <t>DANIELE DAGIOS</t>
  </si>
  <si>
    <t>721341-2</t>
  </si>
  <si>
    <t>DANNA COMERCIAL</t>
  </si>
  <si>
    <t>721336-2</t>
  </si>
  <si>
    <t>ARTIGOS DE HIGIENE PESSOAL P.E. 172/17 ENTREGA ÚNICA</t>
  </si>
  <si>
    <t>DELTA</t>
  </si>
  <si>
    <t>712601-2</t>
  </si>
  <si>
    <t>AQUISIÇÃO DE ETIQUETAS E RIBBON</t>
  </si>
  <si>
    <t>720506-2</t>
  </si>
  <si>
    <t>710604-2</t>
  </si>
  <si>
    <t>P.E. 428/16 LUVAS CIRURGICAS</t>
  </si>
  <si>
    <t>712579-2</t>
  </si>
  <si>
    <t>638166-1</t>
  </si>
  <si>
    <t>REAGENTES E INSUMOS</t>
  </si>
  <si>
    <t>COMPLEMENTO P.E. 428/16 LUVAS CIRURGICAS</t>
  </si>
  <si>
    <t>704100-2</t>
  </si>
  <si>
    <t>P.E. 1267/16 - MEDICAMENTOS - ENTREGA ÚNICA</t>
  </si>
  <si>
    <t>710636-2</t>
  </si>
  <si>
    <t>SCALP E CATETER P.E. 494/16 - ENTREGA ÚNICA</t>
  </si>
  <si>
    <t>710779-2</t>
  </si>
  <si>
    <t>TIRAS DE GLICEMIA P.E. 1511/16 - ENTREGA ÚNICA</t>
  </si>
  <si>
    <t>710782-2</t>
  </si>
  <si>
    <t>710532-2</t>
  </si>
  <si>
    <t>EPI´S P.E. 1280/16 - ENTREGA ÚNICA</t>
  </si>
  <si>
    <t>715633-2</t>
  </si>
  <si>
    <t>SERINGA DE INSULINA P.E. 1723/16 - ENTREGA ÚNICA</t>
  </si>
  <si>
    <t>DUTRAMED</t>
  </si>
  <si>
    <t>721344-2</t>
  </si>
  <si>
    <t>LICISUL COMERCIAL</t>
  </si>
  <si>
    <t>600627-1</t>
  </si>
  <si>
    <t>CT 318/2015 ALIMENTOS 22/12/15 A 21/12/16</t>
  </si>
  <si>
    <t>DSYLAB</t>
  </si>
  <si>
    <t>708779-2</t>
  </si>
  <si>
    <t>LICITA TUDO COMERCIO DE EMBALAGENS</t>
  </si>
  <si>
    <t>613874-1</t>
  </si>
  <si>
    <t>728139-2</t>
  </si>
  <si>
    <t>MATERIAL EXPEDIENTE PE 1246/15 01/04/2016 A 01/04/2017</t>
  </si>
  <si>
    <t>CT 448/17 FIOS DE SUTURA</t>
  </si>
  <si>
    <t>E CAETANO</t>
  </si>
  <si>
    <t>711413-2</t>
  </si>
  <si>
    <t>624185-1</t>
  </si>
  <si>
    <t>TONER E CARTUCHOS PE 1241/2015 CT 187/16 29/07/2016 A 28/07/2017</t>
  </si>
  <si>
    <t>708790-3</t>
  </si>
  <si>
    <t>629330-1</t>
  </si>
  <si>
    <t>CARTUCHOS DE TINTA LOTE 31 E 53 PE 1241</t>
  </si>
  <si>
    <t>LIDER INDUSTRIA E COMERCIO DE EQUIPAMENTOS</t>
  </si>
  <si>
    <t>617073-1</t>
  </si>
  <si>
    <t>LAMPADAS E REATORES 14.116.292-6</t>
  </si>
  <si>
    <t>617360-1</t>
  </si>
  <si>
    <t>1 ADITIVO CT 043/15 AR CONDICIONADO 08/06/2016 A 07/06/2017</t>
  </si>
  <si>
    <t>LONDRICIR</t>
  </si>
  <si>
    <t>638593-1</t>
  </si>
  <si>
    <t>635629-1</t>
  </si>
  <si>
    <t>MARCELO JACOB</t>
  </si>
  <si>
    <t>628328-1</t>
  </si>
  <si>
    <t>710634-2</t>
  </si>
  <si>
    <t>MARCHIORI MD SERVIÇOS MEDICOS</t>
  </si>
  <si>
    <t>617190-1</t>
  </si>
  <si>
    <t>710780-2</t>
  </si>
  <si>
    <t>CANULAS P.E. 1724/16 - ENTREGA ÚNICA</t>
  </si>
  <si>
    <t>708897-2</t>
  </si>
  <si>
    <t>PAPEL GRAU CIRURGICO PE 443/16 - ENTREGA ÚNICA</t>
  </si>
  <si>
    <t>713191-2</t>
  </si>
  <si>
    <t>COMPLEMENTO CT 095/2016 - MMH</t>
  </si>
  <si>
    <t>733919-1</t>
  </si>
  <si>
    <t>720669-2</t>
  </si>
  <si>
    <t>CT 143/17 - CAMPOS CIRURGICOS</t>
  </si>
  <si>
    <t>EGON KLUK STADLER</t>
  </si>
  <si>
    <t>718007-2</t>
  </si>
  <si>
    <t>636595-1</t>
  </si>
  <si>
    <t>2º TA CT 801/14 LOTE 46</t>
  </si>
  <si>
    <t>727716-2</t>
  </si>
  <si>
    <t>MAURICIO FRANCO PACHECO</t>
  </si>
  <si>
    <t>637399-1</t>
  </si>
  <si>
    <t>CT 476/2016 MMH EMERGENCIAL</t>
  </si>
  <si>
    <t>720755-2</t>
  </si>
  <si>
    <t>2º TA CT 125/15 - ELEVADORES</t>
  </si>
  <si>
    <t>MEDIC STOCK COM. DE PROD. MEDICOS HOSPITALARES</t>
  </si>
  <si>
    <t>622201-2</t>
  </si>
  <si>
    <t>EMBALA TUDO</t>
  </si>
  <si>
    <t>CT 196/16 EMERGENCIAL 20/07/2016 A 16/01/2017</t>
  </si>
  <si>
    <t>714701-2</t>
  </si>
  <si>
    <t>637392-1</t>
  </si>
  <si>
    <t>CT 477/16 MMH EMERGENCIAL</t>
  </si>
  <si>
    <t>EMERSON FERREIRA</t>
  </si>
  <si>
    <t>730717-2</t>
  </si>
  <si>
    <t>CT 499/17 - MANUT. AR CONDICIONADO</t>
  </si>
  <si>
    <t>608248-1</t>
  </si>
  <si>
    <t>COMPLEMENTO EMPENHO LOTE 36 CRED 01</t>
  </si>
  <si>
    <t>624328-1</t>
  </si>
  <si>
    <t>626833-1</t>
  </si>
  <si>
    <t>total</t>
  </si>
  <si>
    <t>637896-1</t>
  </si>
  <si>
    <t>2º TA CT 798/14 LOTE 36</t>
  </si>
  <si>
    <t>MILLI S/A</t>
  </si>
  <si>
    <t>624725-1</t>
  </si>
  <si>
    <t>PE 233/16 HIGIENE E LIMPEZA 14.237.234-7</t>
  </si>
  <si>
    <t>MOLNLYCKE HEALTH</t>
  </si>
  <si>
    <t>637381-1</t>
  </si>
  <si>
    <t>CT 479/16 MMH EMERGENCIAL</t>
  </si>
  <si>
    <t>MULTI SAUDE SERVIÇOS MEDICOS</t>
  </si>
  <si>
    <t>604427-1</t>
  </si>
  <si>
    <t>CE 367/2016 QUIMIOTERAPIA VIGENCIA 14/03/2016 A 13/08/2016</t>
  </si>
  <si>
    <t>631294-1</t>
  </si>
  <si>
    <t>CT 357/16 QUIMIOTERAPIA  CRED. 02/16</t>
  </si>
  <si>
    <t>NELTON RUBENS EDUARDO</t>
  </si>
  <si>
    <t>624182-1</t>
  </si>
  <si>
    <t>TONER E CARTUCHOS PE 1241/2015 CT 185/16 29/07/2016 A 28/07/2017</t>
  </si>
  <si>
    <t>621623-2</t>
  </si>
  <si>
    <t>COMPLEMENTO EMPENHO LOTE 35 CRED 01</t>
  </si>
  <si>
    <t>NUTRI HOUSE ALIMENTOS</t>
  </si>
  <si>
    <t>609939-1</t>
  </si>
  <si>
    <t>CT 121/2016 ALIMENTAÇÃO 29/04/2016 A 28/04/2017</t>
  </si>
  <si>
    <t>633750-1</t>
  </si>
  <si>
    <t>CT 438/16 PE 627/2016 14.235.335-0 LEITE</t>
  </si>
  <si>
    <t>638444-1</t>
  </si>
  <si>
    <t>OPUSPAC</t>
  </si>
  <si>
    <t>632700-1</t>
  </si>
  <si>
    <t>CT 394/16 EMBALAGENS FRACIONAMENTO COMPATIVEL OPUS 30</t>
  </si>
  <si>
    <t>636569-1</t>
  </si>
  <si>
    <t>COMPLEMENTO CT 394/16 EMBALAGENS FRACIONAMENTO COMPATIVEL OPUS 30</t>
  </si>
  <si>
    <t>ORION FARMACEUTICA</t>
  </si>
  <si>
    <t>637426-1</t>
  </si>
  <si>
    <t>CT 472/2016 COLETOR DE URINA</t>
  </si>
  <si>
    <t>636392-1</t>
  </si>
  <si>
    <t>635630-1</t>
  </si>
  <si>
    <t>PATOLOGIA HUMANA DIAGNOSTICO E PESQUISA</t>
  </si>
  <si>
    <t>628018-1</t>
  </si>
  <si>
    <t>CT 027/15 LOTE 42</t>
  </si>
  <si>
    <t>PAS PROGRAMA DE ALIMENTAÇÃO SOCIAL</t>
  </si>
  <si>
    <t>609937-1</t>
  </si>
  <si>
    <t>CT 122/2016 ALIMENTAÇÃO 29/04/2016 A 28/04/2017</t>
  </si>
  <si>
    <t>PLASTICOS SANTA CLARA</t>
  </si>
  <si>
    <t>624694-1</t>
  </si>
  <si>
    <t>624699-1</t>
  </si>
  <si>
    <t>PNCQ</t>
  </si>
  <si>
    <t>627994-1</t>
  </si>
  <si>
    <t>CT 169/15 - SERVIÇOS DE CONTROLE DE QUALIDADE EXTERNO 11/09 A 10/09/17</t>
  </si>
  <si>
    <t>EMPRESA DE ÁGUAS PÉ DA SERRA</t>
  </si>
  <si>
    <t>718912-2</t>
  </si>
  <si>
    <t>PE 544/2016 CT 094/2017</t>
  </si>
  <si>
    <t>715856-2</t>
  </si>
  <si>
    <t xml:space="preserve">2 ADITIVO CT 139/15 ESTERILIZAÇÃO </t>
  </si>
  <si>
    <t>PONTAMED</t>
  </si>
  <si>
    <t>638094-1</t>
  </si>
  <si>
    <t>638604-1</t>
  </si>
  <si>
    <t>731702-1</t>
  </si>
  <si>
    <t xml:space="preserve">COMPL. 2 ADITIVO CT 139/15 ESTERILIZAÇÃO </t>
  </si>
  <si>
    <t>ETICA MED</t>
  </si>
  <si>
    <t>710729-2</t>
  </si>
  <si>
    <t>CATETERES P.E. 1721/16 - ENTREGA ÚNICA</t>
  </si>
  <si>
    <t>FERNANDO DE MELO</t>
  </si>
  <si>
    <t>717881-2</t>
  </si>
  <si>
    <t xml:space="preserve">CT 259/17 EMERGENCIAL AR CONDICIONADO </t>
  </si>
  <si>
    <t>FORTECOM</t>
  </si>
  <si>
    <t>720474-2</t>
  </si>
  <si>
    <t>SACO LIXO LARANJA - PE 222/16 - ENTREGA ÚNICA</t>
  </si>
  <si>
    <t>635663-1</t>
  </si>
  <si>
    <t>GERHARDT E HOTA</t>
  </si>
  <si>
    <t>72792-2</t>
  </si>
  <si>
    <t>CT 301/17 LOTE 24</t>
  </si>
  <si>
    <t>POSSANI</t>
  </si>
  <si>
    <t>GIMED</t>
  </si>
  <si>
    <t>633060-1</t>
  </si>
  <si>
    <t>710533-2</t>
  </si>
  <si>
    <t>CT 150/16 P.E. 308/15 CAFÉ</t>
  </si>
  <si>
    <t>GL COMERCIAL</t>
  </si>
  <si>
    <t>711411-2</t>
  </si>
  <si>
    <t>GM DISTRIBUIDORA</t>
  </si>
  <si>
    <t>POTENZA CONFECÇÕES</t>
  </si>
  <si>
    <t>708797-2</t>
  </si>
  <si>
    <t>626510-1</t>
  </si>
  <si>
    <t>CAMA, MESA E BANHO P.E. 211/16</t>
  </si>
  <si>
    <t>710619-2</t>
  </si>
  <si>
    <t>ALIMENTOS EM SACHÊ</t>
  </si>
  <si>
    <t>PROMEFARMA</t>
  </si>
  <si>
    <t>638109-1</t>
  </si>
  <si>
    <t>620280-1</t>
  </si>
  <si>
    <t>1 ADITIVO CT 155/15 AR DOSIMETRIA 21/08/2016 A 20/08/2017</t>
  </si>
  <si>
    <t>712778-2</t>
  </si>
  <si>
    <t>COMPLEMENTO CT 151/17-ALIMENTOS EM SACHÊ</t>
  </si>
  <si>
    <t>PROHOSP DISTRIBUIDORA DE MEDICAMENTOS</t>
  </si>
  <si>
    <t>610510-1</t>
  </si>
  <si>
    <t>CT 125/2016 REAGENTES VIG 26/04/2016 A 25/04/2017</t>
  </si>
  <si>
    <t>HENLAU</t>
  </si>
  <si>
    <t>701117-2</t>
  </si>
  <si>
    <t>626274-1</t>
  </si>
  <si>
    <t>710884-2</t>
  </si>
  <si>
    <t>COMPLEMENTO LOTE 01 CRED 001/16</t>
  </si>
  <si>
    <t>720475-2</t>
  </si>
  <si>
    <t>PROSURG PRODUTOS MEDICOS</t>
  </si>
  <si>
    <t>606927-1</t>
  </si>
  <si>
    <t>AQUISIÇAO GRAMPEADORES 08/04/2016 A 07/04/2017</t>
  </si>
  <si>
    <t>725528-2</t>
  </si>
  <si>
    <t>COMPLEMENTO CT 356/16 LOTE 01 CRED 001/16</t>
  </si>
  <si>
    <t>638626-1</t>
  </si>
  <si>
    <t>ADITIVO AQUISIÇAO GRAMPEADORES 08/04/2016 A 07/04/2017</t>
  </si>
  <si>
    <t>725529-2</t>
  </si>
  <si>
    <t>COMPLEMENTO CT 358/16 LOTE 02 CRED 001/16</t>
  </si>
  <si>
    <t>HOPE COMERCIAL</t>
  </si>
  <si>
    <t>703529-2</t>
  </si>
  <si>
    <t>715846-2</t>
  </si>
  <si>
    <t>702080-2</t>
  </si>
  <si>
    <t>COMPLEMENTO 1º TA DO CT 047/15 LOTE 43</t>
  </si>
  <si>
    <t>PROVIDER</t>
  </si>
  <si>
    <t>638014-1</t>
  </si>
  <si>
    <t>710867-2</t>
  </si>
  <si>
    <t>708784-2</t>
  </si>
  <si>
    <t>2º TA DO CT 031/15 LOTE 04</t>
  </si>
  <si>
    <t>605986-1</t>
  </si>
  <si>
    <t>CT 497/2016 CARNES BOVINA SUINA 29/03/2016 A 28/03/17</t>
  </si>
  <si>
    <t>708816-2</t>
  </si>
  <si>
    <t>710862-2</t>
  </si>
  <si>
    <t>COMPLEMENTO 2º TA DO CT 031/15 LOTE 04</t>
  </si>
  <si>
    <t>609943-1</t>
  </si>
  <si>
    <t xml:space="preserve">CT 119/16 ALIMENTAÇAO 29/04/2016 A 28/04/2017 </t>
  </si>
  <si>
    <t>622215-2</t>
  </si>
  <si>
    <t>CT 219/2016 HOTIFRITI PROTOCOLO 13.994.176-4</t>
  </si>
  <si>
    <t>REGLY E REGLY COM. DE PROD. DE LIMPEZA E ALIMENTICIOS</t>
  </si>
  <si>
    <t>624697-1</t>
  </si>
  <si>
    <t>624726-1</t>
  </si>
  <si>
    <t>715651-2</t>
  </si>
  <si>
    <t>MATERIAL HIGIENE E LIMPEZA DEAM PE 233/2016 14.237.234-7</t>
  </si>
  <si>
    <t>HPF SURGICAL</t>
  </si>
  <si>
    <t>710548-2</t>
  </si>
  <si>
    <t>609784-1</t>
  </si>
  <si>
    <t>CLIP TITANIO PE 1722/16 - ENTREGA ÚNICA</t>
  </si>
  <si>
    <t>1 ADITIVO INEX 028/2015 ASSISTENCIA INFORMATICA 14.011.693-9</t>
  </si>
  <si>
    <t>IDEAL SEG</t>
  </si>
  <si>
    <t>705991-2</t>
  </si>
  <si>
    <t>IMPLATECH</t>
  </si>
  <si>
    <t>721343-2</t>
  </si>
  <si>
    <t>RSARRAFF MEDICOS ASSOCIADOS</t>
  </si>
  <si>
    <t>601623-1</t>
  </si>
  <si>
    <t>CT 278/15 LOTE 05 CRED 01/2014</t>
  </si>
  <si>
    <t>710730-2</t>
  </si>
  <si>
    <t>INDALABOR</t>
  </si>
  <si>
    <t>715847-2</t>
  </si>
  <si>
    <t>626761-1</t>
  </si>
  <si>
    <t>INFOTRIZ COMERCIAL</t>
  </si>
  <si>
    <t>715839-2</t>
  </si>
  <si>
    <t>RUANA COMERCIAL</t>
  </si>
  <si>
    <t>624698-1</t>
  </si>
  <si>
    <t>714692-2</t>
  </si>
  <si>
    <t>SANOFI AVENTIS</t>
  </si>
  <si>
    <t>637791-1</t>
  </si>
  <si>
    <t>MEDICAMENTOS P.E. 506/2016</t>
  </si>
  <si>
    <t>710637-2</t>
  </si>
  <si>
    <t>609941-1</t>
  </si>
  <si>
    <t>CT 120/2016 ALIMENTAÇÃO 29/04/2016 A 28/04/2017</t>
  </si>
  <si>
    <t>721762-2</t>
  </si>
  <si>
    <t>2º TA CT 793/14 LOTE 50</t>
  </si>
  <si>
    <t>ESTORNADO CONFORME SOLICITAÇÃO TEN. ESPERANÇA (PARTE Nº 085/17)</t>
  </si>
  <si>
    <t>728268-2</t>
  </si>
  <si>
    <t>622223-2</t>
  </si>
  <si>
    <t>COMPL. 2º TA CT 793/14 LOTE 50</t>
  </si>
  <si>
    <t>CT 218/2016 HOTIFRITI PROTOCOLO 13.994.176-4</t>
  </si>
  <si>
    <t>725664-2</t>
  </si>
  <si>
    <t>CT 423/17 - AR COMPRIMIDO</t>
  </si>
  <si>
    <t>2017/470</t>
  </si>
  <si>
    <t>701784-2</t>
  </si>
  <si>
    <t>COMPLEMENTO 2º TA DO CT 803/14 - LOTE 01</t>
  </si>
  <si>
    <t>708775-2</t>
  </si>
  <si>
    <t>COMPLEMENTO 2º TA DO CT 803/14 - LOTE 01 CRED 002/14</t>
  </si>
  <si>
    <t>710870-2</t>
  </si>
  <si>
    <t>702079-2</t>
  </si>
  <si>
    <t>2º TA DO CT 787/2014 - LOTE 22</t>
  </si>
  <si>
    <t>710854-2</t>
  </si>
  <si>
    <t>COMPLEMENTO 2º TA DO CT 787/2014 - LOTE 22</t>
  </si>
  <si>
    <t>623739-1</t>
  </si>
  <si>
    <t>ALIMENTAÇAO DEAM PE 101/2016 14.166.762-9</t>
  </si>
  <si>
    <t>633748-1</t>
  </si>
  <si>
    <t>SHANON MODA MASCULINA</t>
  </si>
  <si>
    <t>603424-1</t>
  </si>
  <si>
    <t>TECIDOS</t>
  </si>
  <si>
    <t>633096-1</t>
  </si>
  <si>
    <t xml:space="preserve">2 TA DO CT 692/14 </t>
  </si>
  <si>
    <t>J R COMERCIO</t>
  </si>
  <si>
    <t>708793-2</t>
  </si>
  <si>
    <t>710727-2</t>
  </si>
  <si>
    <t>JAT PLASTIC</t>
  </si>
  <si>
    <t>708802-2</t>
  </si>
  <si>
    <t>CAPAS DE PROCESSO P.E. 956/2016</t>
  </si>
  <si>
    <t>K &amp; K PAPELARIA</t>
  </si>
  <si>
    <t>714693-2</t>
  </si>
  <si>
    <t>KOLLIMED</t>
  </si>
  <si>
    <t>705995-2</t>
  </si>
  <si>
    <t>710635-2</t>
  </si>
  <si>
    <t>705986-2</t>
  </si>
  <si>
    <t>CT 47/17 - REAGENTES</t>
  </si>
  <si>
    <t>626516-1</t>
  </si>
  <si>
    <t>STARMED ARTIGOS MEDICOS</t>
  </si>
  <si>
    <t>630230-1</t>
  </si>
  <si>
    <t>LUVAS CIRURGICAS P.E. 428/2016</t>
  </si>
  <si>
    <t>632532-1</t>
  </si>
  <si>
    <t>712574-2</t>
  </si>
  <si>
    <t>COMPLEMENTO CT 47/17 - REAGENTES</t>
  </si>
  <si>
    <t>632512-1</t>
  </si>
  <si>
    <t>636391-1</t>
  </si>
  <si>
    <t>730727-2</t>
  </si>
  <si>
    <t>CT 538/17 - REAGENTES COBBAS</t>
  </si>
  <si>
    <t>708896-2</t>
  </si>
  <si>
    <t>CT 149/17 LOCAÇÃO EQUIP. TIRAS DE URINA</t>
  </si>
  <si>
    <t>638502-1</t>
  </si>
  <si>
    <t>LEO COMERCIAL</t>
  </si>
  <si>
    <t>715032-2</t>
  </si>
  <si>
    <t>TAAGEERO</t>
  </si>
  <si>
    <t>627615-1</t>
  </si>
  <si>
    <t>LAMPADAS E LUMINARIAS P.E. 586/2016</t>
  </si>
  <si>
    <t>LICIMED</t>
  </si>
  <si>
    <t>705997-2</t>
  </si>
  <si>
    <t>LUIZ MINIOLI</t>
  </si>
  <si>
    <t>708796-2</t>
  </si>
  <si>
    <t>633645-1</t>
  </si>
  <si>
    <t>1º TA CT 314/15 - MANUT. AQUECEDOR PASSAGEM</t>
  </si>
  <si>
    <t>722074-2</t>
  </si>
  <si>
    <t>PAPEL TOALHA PE 006/17 PARTICIPANTE ENTREGA ÚNICA</t>
  </si>
  <si>
    <t>MAPU DISTRIBUIDORA</t>
  </si>
  <si>
    <t>714691-2</t>
  </si>
  <si>
    <t>721755-2</t>
  </si>
  <si>
    <t>728267-2</t>
  </si>
  <si>
    <t>708795-3</t>
  </si>
  <si>
    <t>TRANSRESIDUOS</t>
  </si>
  <si>
    <t>633085-1</t>
  </si>
  <si>
    <t>3º TA 193/2016</t>
  </si>
  <si>
    <t>708773-3</t>
  </si>
  <si>
    <t>2º TA DO CT 801/14 LOTE 46</t>
  </si>
  <si>
    <t>VAREJÃO DE CARNES SOLEDADE</t>
  </si>
  <si>
    <t>623740-1</t>
  </si>
  <si>
    <t>ALIMENTAÇÃO PE 101/2016 DEAM ENTREGA ÚNICA 14.166.762-9</t>
  </si>
  <si>
    <t>612479-1</t>
  </si>
  <si>
    <t>2 ADITIVO CT 019/2014 27/05/2016 A 26/05/2017</t>
  </si>
  <si>
    <t>708892-2</t>
  </si>
  <si>
    <t>VIDA TEXTIL</t>
  </si>
  <si>
    <t>626509-1</t>
  </si>
  <si>
    <t>626512-1</t>
  </si>
  <si>
    <t>710879-2</t>
  </si>
  <si>
    <t>COMPLEMENTO 2º TA DO CT 801/14 LOTE 46</t>
  </si>
  <si>
    <t>624422-1</t>
  </si>
  <si>
    <t>1 ADITIVO CT 183/2015 19/10/2016 A 18/10/2017</t>
  </si>
  <si>
    <t>ESTORNADO 11.412,98</t>
  </si>
  <si>
    <t>MEDIC STOCK</t>
  </si>
  <si>
    <t>733650-1</t>
  </si>
  <si>
    <t>CT 553/17 - MMH</t>
  </si>
  <si>
    <t>733640-1</t>
  </si>
  <si>
    <t>CT 555/17 - MMH</t>
  </si>
  <si>
    <t>708774-2</t>
  </si>
  <si>
    <t>2º TA DO CT 798/14 LOTE 36</t>
  </si>
  <si>
    <t>710880-2</t>
  </si>
  <si>
    <t>COMPLEMENTO 2º TA DO CT 798/14 LOTE 36</t>
  </si>
  <si>
    <t>720491-2</t>
  </si>
  <si>
    <t>731412-2</t>
  </si>
  <si>
    <t>CT 513/17 LOTE 28 CRED 001/14</t>
  </si>
  <si>
    <t>MEDPOA</t>
  </si>
  <si>
    <t>710734-2</t>
  </si>
  <si>
    <t>728024-2</t>
  </si>
  <si>
    <t>MERCO SOLÚÇOES EM SAÚDE</t>
  </si>
  <si>
    <t>725584-2</t>
  </si>
  <si>
    <t>730523-2</t>
  </si>
  <si>
    <t>MICRON</t>
  </si>
  <si>
    <t>721197-2</t>
  </si>
  <si>
    <t>CT 306/17 - CAFÉ</t>
  </si>
  <si>
    <t>MILI</t>
  </si>
  <si>
    <t>721337-2</t>
  </si>
  <si>
    <t>MULTI SAÚDE</t>
  </si>
  <si>
    <t>733882-1</t>
  </si>
  <si>
    <t>1º TA CT 357/16 - CRED 002/16 - LOTE ÚNICO</t>
  </si>
  <si>
    <t>MW</t>
  </si>
  <si>
    <t>710819-2</t>
  </si>
  <si>
    <t>NACIONAL SAFETY</t>
  </si>
  <si>
    <t>700986-3</t>
  </si>
  <si>
    <t>NELPRINT</t>
  </si>
  <si>
    <t>720505-2</t>
  </si>
  <si>
    <t>TONNER - PE 653/16 - ENTREGA ÚNICA</t>
  </si>
  <si>
    <t>701986-2</t>
  </si>
  <si>
    <t>COMPLEMENTO 2º TA DO CT 796/14 LOTE 33</t>
  </si>
  <si>
    <t>705989-2</t>
  </si>
  <si>
    <t>parcial da NF 2807</t>
  </si>
  <si>
    <t>720494-2</t>
  </si>
  <si>
    <t>701990-2</t>
  </si>
  <si>
    <t>COMPLEMENTO 2º TA DO CT 796/14 LOTE 35</t>
  </si>
  <si>
    <t>705988-2</t>
  </si>
  <si>
    <t>720498-2</t>
  </si>
  <si>
    <t>726574-2</t>
  </si>
  <si>
    <t>3º TA DO CT 796/14 LOTE 35</t>
  </si>
  <si>
    <t>733749-1</t>
  </si>
  <si>
    <t>2º TA DO CT 796/14 LOTE 18</t>
  </si>
  <si>
    <t>NORSKPAR</t>
  </si>
  <si>
    <t>701116-2</t>
  </si>
  <si>
    <t>NUTRICLIN</t>
  </si>
  <si>
    <t>725557-2</t>
  </si>
  <si>
    <t>730524-2</t>
  </si>
  <si>
    <t>NUTRI HOUSE</t>
  </si>
  <si>
    <t>718009-2</t>
  </si>
  <si>
    <t>725698-2</t>
  </si>
  <si>
    <t>726992-2</t>
  </si>
  <si>
    <t>733912-1</t>
  </si>
  <si>
    <t>COMPL. AQUISIÇÃO CARNES PE 942/16</t>
  </si>
  <si>
    <t>730659-2</t>
  </si>
  <si>
    <t>AQUISIÇÃO ARROZ PE 1142/16 CT 372/17</t>
  </si>
  <si>
    <t>NUTRIMEDICAL</t>
  </si>
  <si>
    <t>725591-2</t>
  </si>
  <si>
    <t>6498-1</t>
  </si>
  <si>
    <t>6767-1</t>
  </si>
  <si>
    <t>6746-1</t>
  </si>
  <si>
    <t>NUTRIPORT</t>
  </si>
  <si>
    <t>725546-2</t>
  </si>
  <si>
    <t>3004</t>
  </si>
  <si>
    <t>GLP</t>
  </si>
  <si>
    <t>730527-2</t>
  </si>
  <si>
    <t>702158-2</t>
  </si>
  <si>
    <t>2º TA DO CT 774/14 LOTE 43</t>
  </si>
  <si>
    <t>MAIS 10%</t>
  </si>
  <si>
    <t>710869-2</t>
  </si>
  <si>
    <t>3007</t>
  </si>
  <si>
    <t>FEIJÃO</t>
  </si>
  <si>
    <t>CAFÉ</t>
  </si>
  <si>
    <t>NÃO PERECÍVEIS</t>
  </si>
  <si>
    <t>LEITE</t>
  </si>
  <si>
    <t>720513-2</t>
  </si>
  <si>
    <t>COMPLEMENTO 2º TA DO CT 774/14 LOTE 43</t>
  </si>
  <si>
    <t>710737-2</t>
  </si>
  <si>
    <t>HORTI</t>
  </si>
  <si>
    <t>CARNE</t>
  </si>
  <si>
    <t>710803-2</t>
  </si>
  <si>
    <t>728022-2</t>
  </si>
  <si>
    <t>728130-2</t>
  </si>
  <si>
    <t>CT 445/17 FIOS DE SUTURA</t>
  </si>
  <si>
    <t>ORTHO CLINICAL</t>
  </si>
  <si>
    <t>721202-2</t>
  </si>
  <si>
    <t>CT 293-17 - AQUISIÇÃO DE REAGENTES</t>
  </si>
  <si>
    <t>AQUISIÇÃO MEDICAMENTOS</t>
  </si>
  <si>
    <t>3009</t>
  </si>
  <si>
    <t>EMBALAGENS OPUS</t>
  </si>
  <si>
    <t>JULHO 2016 A JULHO 2017</t>
  </si>
  <si>
    <t>PARCOMED</t>
  </si>
  <si>
    <t>710666-2</t>
  </si>
  <si>
    <t>3016</t>
  </si>
  <si>
    <t>PMG</t>
  </si>
  <si>
    <t>701724-2</t>
  </si>
  <si>
    <t>CT 507/2016 LOTE 18</t>
  </si>
  <si>
    <t>PRANCHETAS</t>
  </si>
  <si>
    <t>3017</t>
  </si>
  <si>
    <t>COPOS DESCARTAVEIS</t>
  </si>
  <si>
    <t>733750-1</t>
  </si>
  <si>
    <t>COMPLEMENTO CT 507/2016 LOTE 18</t>
  </si>
  <si>
    <t>3021</t>
  </si>
  <si>
    <t>TONNER</t>
  </si>
  <si>
    <t>725675-2</t>
  </si>
  <si>
    <t>2º T.A CT 169/15 - SERVIÇOS DE CONTROLE DE QUALIDADE EXTERNO 11/09 A 10/09/18</t>
  </si>
  <si>
    <t xml:space="preserve">PHARMA LOG </t>
  </si>
  <si>
    <t>700646-2</t>
  </si>
  <si>
    <t>MEDICAMENTO ESTREPTOQUINASE PÓ P.E. 701/16 ENTREGA ÚNICA</t>
  </si>
  <si>
    <t>715796-2</t>
  </si>
  <si>
    <t>MEDICAMENTOS DE A A Z CONSTANTES NA TABELA CMED</t>
  </si>
  <si>
    <t>3022</t>
  </si>
  <si>
    <t>HIGIENE E LIMPEZA</t>
  </si>
  <si>
    <t>SACOS PLASTICOS</t>
  </si>
  <si>
    <t>APARELHO DE BARBEAR</t>
  </si>
  <si>
    <t>SABONETE LÍQUIDO</t>
  </si>
  <si>
    <t>INSUMOS PARA LAVANDERIA</t>
  </si>
  <si>
    <t>3023</t>
  </si>
  <si>
    <t>AQUISIÇÃO DE TECIDO</t>
  </si>
  <si>
    <t>3024</t>
  </si>
  <si>
    <t xml:space="preserve">BOMBA DE VACUO </t>
  </si>
  <si>
    <t>GRADE DE PROTEÇÃO</t>
  </si>
  <si>
    <t>3026</t>
  </si>
  <si>
    <t>LÂMPADAS E REATORES</t>
  </si>
  <si>
    <t>726751-2</t>
  </si>
  <si>
    <t>3028</t>
  </si>
  <si>
    <t>Substituição de pó químico, extintores novos e testes em mangueiras</t>
  </si>
  <si>
    <t>3035</t>
  </si>
  <si>
    <t>MATERIAL COLETA</t>
  </si>
  <si>
    <t>INSUMOS COAGULAÇÃO</t>
  </si>
  <si>
    <t>REAGENTES PARA AFERIÇÃO DE GASES</t>
  </si>
  <si>
    <t>PISEBEMLOG</t>
  </si>
  <si>
    <t>700985-2</t>
  </si>
  <si>
    <t xml:space="preserve">Johnson &amp; Johnson </t>
  </si>
  <si>
    <t>704099-2</t>
  </si>
  <si>
    <t>REAGENTES DE MICROBIOLOGIA</t>
  </si>
  <si>
    <t>ETIQUETAS E RIBBON</t>
  </si>
  <si>
    <t>721198-2</t>
  </si>
  <si>
    <t>PRATI</t>
  </si>
  <si>
    <t>704102-3</t>
  </si>
  <si>
    <t>3036</t>
  </si>
  <si>
    <t>MMH</t>
  </si>
  <si>
    <t>PRIMA</t>
  </si>
  <si>
    <t>701685-2</t>
  </si>
  <si>
    <t>LOTE 27 CRED 001/14</t>
  </si>
  <si>
    <t>MMH EMERGENCIAL</t>
  </si>
  <si>
    <t>TERMOMETRO DIGITAL</t>
  </si>
  <si>
    <t>SERINGAS</t>
  </si>
  <si>
    <t>AGULHAS</t>
  </si>
  <si>
    <t>702643-2</t>
  </si>
  <si>
    <t>COMPLEMENTO LOTE 27 CRED 001/14</t>
  </si>
  <si>
    <t>MANITOL + SORBITOL</t>
  </si>
  <si>
    <t>KITS FIXADORES</t>
  </si>
  <si>
    <t>BOLSA COLOSTOMIA</t>
  </si>
  <si>
    <t>710873-2</t>
  </si>
  <si>
    <t>3011</t>
  </si>
  <si>
    <t>FILMES PARA RAIO X</t>
  </si>
  <si>
    <t>SONDAS</t>
  </si>
  <si>
    <t>CAL SODADA</t>
  </si>
  <si>
    <t>720477-2</t>
  </si>
  <si>
    <t>COMPRESSAS E ATADURAS</t>
  </si>
  <si>
    <t>SCALP E CATETER</t>
  </si>
  <si>
    <t>PRODIET</t>
  </si>
  <si>
    <t>725589-2</t>
  </si>
  <si>
    <t>704106-2</t>
  </si>
  <si>
    <t>FITA ADESIVA</t>
  </si>
  <si>
    <t>705993-3</t>
  </si>
  <si>
    <t>GRAMPEADORES</t>
  </si>
  <si>
    <t>721982-2</t>
  </si>
  <si>
    <t>CT379/17 - EMERGENCIAL - FRASCOS DE HEMOCULTURA</t>
  </si>
  <si>
    <t>LUVAS CIRURGICAS</t>
  </si>
  <si>
    <t>3701</t>
  </si>
  <si>
    <t>SERVIÇO DE HIGIENE E LIMPEZA</t>
  </si>
  <si>
    <t>3908</t>
  </si>
  <si>
    <t>MANUTENÇÃO ESMERALDA</t>
  </si>
  <si>
    <t>PRO RAD</t>
  </si>
  <si>
    <t>721981-2</t>
  </si>
  <si>
    <t>2º T.A. CT 155/2015 - DOSIMETRIA</t>
  </si>
  <si>
    <t>PRO-VIDA</t>
  </si>
  <si>
    <t>725586-2</t>
  </si>
  <si>
    <t>R.O. GOMES</t>
  </si>
  <si>
    <t>701114-2</t>
  </si>
  <si>
    <t>RODA BRASIL</t>
  </si>
  <si>
    <t>3916</t>
  </si>
  <si>
    <t>711412-2</t>
  </si>
  <si>
    <t>MANUTENÇÃO CAIXA DÁGUA</t>
  </si>
  <si>
    <t>RENATO CLORETTI</t>
  </si>
  <si>
    <t>708788-2</t>
  </si>
  <si>
    <t>RSARRAFF</t>
  </si>
  <si>
    <t>731420-2</t>
  </si>
  <si>
    <t>CT 491/17 LOTE 05 CRED 001/14</t>
  </si>
  <si>
    <t>SATELITE COMERCIAL</t>
  </si>
  <si>
    <t>714563-2</t>
  </si>
  <si>
    <t>DESCRIÇÃO DO PROCESSO</t>
  </si>
  <si>
    <t>VALOR DO CONTRATO</t>
  </si>
  <si>
    <t>EPI´S</t>
  </si>
  <si>
    <t>SIGPLAST COMERCIAL LTDA.</t>
  </si>
  <si>
    <t>722075-2</t>
  </si>
  <si>
    <t>3917</t>
  </si>
  <si>
    <t>MANUTENÇÃO HEMODIÁLISE</t>
  </si>
  <si>
    <t>SERVIÇO ENGENHARIA CLÍNICA</t>
  </si>
  <si>
    <t>727905-2</t>
  </si>
  <si>
    <t>3º TA CT 692/14 - MANUT. ESMERALDA</t>
  </si>
  <si>
    <t>MANUTENÇÃO CENTRAL DE VÁCUO</t>
  </si>
  <si>
    <t>SOLO COMERCIAL</t>
  </si>
  <si>
    <t>715040-2</t>
  </si>
  <si>
    <t xml:space="preserve">MANUTENÇÃO  SISTEMA AUTOMATIZADO DE UNITARIZAÇÃO DA FARMACIA </t>
  </si>
  <si>
    <t>MANUTENÇÃO AR CONDICIONADO</t>
  </si>
  <si>
    <t>SOMA/PR</t>
  </si>
  <si>
    <t>EPI'S P.E 1280/2016 PARTICIPANTE ENTREGA ÚNICA</t>
  </si>
  <si>
    <t>SALDO A ESTORNAR</t>
  </si>
  <si>
    <t>728023-2</t>
  </si>
  <si>
    <t>702028-2</t>
  </si>
  <si>
    <t>tiras e lancetas</t>
  </si>
  <si>
    <t>3950</t>
  </si>
  <si>
    <t>LOTE 01 CRED 001/14</t>
  </si>
  <si>
    <t>SONDA DIVERSAS P.E. 424/2016 - ENTREGA ÚNICA</t>
  </si>
  <si>
    <t>710633-2</t>
  </si>
  <si>
    <t>LOTE 02 CRED 001/14</t>
  </si>
  <si>
    <t>LOTE 03 CRED 001/14</t>
  </si>
  <si>
    <t>LOTE 05 CRED 001/14</t>
  </si>
  <si>
    <t>710805-2</t>
  </si>
  <si>
    <t>MATERIAIS ESTERILIZANTES</t>
  </si>
  <si>
    <t>FIOS DE SUTURA</t>
  </si>
  <si>
    <t>LOTE 06 CRED 001/14</t>
  </si>
  <si>
    <t>LOTE 07 CRED 001/14</t>
  </si>
  <si>
    <t>TECNILINE</t>
  </si>
  <si>
    <t>701120-2</t>
  </si>
  <si>
    <t>LOTE 10 CRED 001/14</t>
  </si>
  <si>
    <t>CT 437-16 P.E. 1245/2015 MANUTENÇÃO ELÉTRICA, HIDRÁULICA, LÓGICA E TELEFONIA</t>
  </si>
  <si>
    <t>LOTE 16 CRED 001/14</t>
  </si>
  <si>
    <t>LOTE 17 CRED 001/14</t>
  </si>
  <si>
    <t>LOTE 18 CRED 001/14</t>
  </si>
  <si>
    <t>701992-3</t>
  </si>
  <si>
    <t>LOTE 20 CRED 001/14</t>
  </si>
  <si>
    <t>LOTE 21 CRED 001/14</t>
  </si>
  <si>
    <t>LOTE 22 CRED 001/14</t>
  </si>
  <si>
    <t>LOTE 24 CRED 001/14</t>
  </si>
  <si>
    <t>LOTE 28 CRED 001/14</t>
  </si>
  <si>
    <t>LOTE 29 CRED 001/14</t>
  </si>
  <si>
    <t>LOTE 33 CRED 001/14</t>
  </si>
  <si>
    <t>LOTE 35 CRED 001/14</t>
  </si>
  <si>
    <t>LOTE 36 CRED 001/14</t>
  </si>
  <si>
    <t>LOTE 38 CRED 001/14</t>
  </si>
  <si>
    <t>LOTE 39 CRED 001/14</t>
  </si>
  <si>
    <t>LOTE 41 CRED 001/14</t>
  </si>
  <si>
    <t>BISTURIS</t>
  </si>
  <si>
    <t>LOTE 42 CRED 001/14</t>
  </si>
  <si>
    <t>TKL</t>
  </si>
  <si>
    <t>717547-2</t>
  </si>
  <si>
    <t>P.E. 1511/16 LANCETAS - ENTREGA ÚNICA</t>
  </si>
  <si>
    <t>FIOS CIRURGICOS</t>
  </si>
  <si>
    <t>LOTE 43 CRED 001/14</t>
  </si>
  <si>
    <t>TR DISTRIBUIDORA</t>
  </si>
  <si>
    <t>700984-2</t>
  </si>
  <si>
    <t>COLETOR DE URINA</t>
  </si>
  <si>
    <t>LOTE 44 CRED 001/14</t>
  </si>
  <si>
    <t>705987-2</t>
  </si>
  <si>
    <t>2º TA DO CT 807/14 LOTE 39</t>
  </si>
  <si>
    <t>CLIP TITANEO</t>
  </si>
  <si>
    <t>LOTE 45 CRED 001/14</t>
  </si>
  <si>
    <t>LOTE 46 CRED 001/14</t>
  </si>
  <si>
    <t>3039</t>
  </si>
  <si>
    <t>PNEUS E CÂMARAS</t>
  </si>
  <si>
    <t>720508-2</t>
  </si>
  <si>
    <t>COMPLEMENTO 2º TA DO CT 807/14 LOTE 39</t>
  </si>
  <si>
    <t>VALDEREZ MOREIRA</t>
  </si>
  <si>
    <t>715036-2</t>
  </si>
  <si>
    <t>712577-2</t>
  </si>
  <si>
    <t xml:space="preserve">3 ADITIVO CT 019/2014 </t>
  </si>
  <si>
    <t>LOTE 47 CRED 001/14</t>
  </si>
  <si>
    <t>LOTE 50 CRED 001/14</t>
  </si>
  <si>
    <t>725521-2</t>
  </si>
  <si>
    <t xml:space="preserve">COMPLEMENTO 3 ADITIVO CT 019/2014 </t>
  </si>
  <si>
    <t>LOTE 01 CRED 002/14</t>
  </si>
  <si>
    <t>VOOTRY</t>
  </si>
  <si>
    <t>700987-2</t>
  </si>
  <si>
    <t>3912</t>
  </si>
  <si>
    <t>Locação de equipamento HEMATOLOGIA</t>
  </si>
  <si>
    <t>LOTE 04 CRED 002/14</t>
  </si>
  <si>
    <t xml:space="preserve">Locação de equipamento analise de urina </t>
  </si>
  <si>
    <t>LOTE ÚNICO CRED 002/16</t>
  </si>
  <si>
    <t>LOTE ÚNICO CRED 007/16</t>
  </si>
  <si>
    <t>INDENIZAÇÃO SANTA BRIGIDA</t>
  </si>
  <si>
    <t>ESTERILIZAÇÃO POR ÓXIDO DE ETILENO</t>
  </si>
  <si>
    <t>LABORATÓRIO DE ANÁLISES CLÍNICAS</t>
  </si>
  <si>
    <t>MANUTENÇÃO ELÉTRICA, HIDRÁULICA E TELEFONIA</t>
  </si>
  <si>
    <t>MANUTENÇÃO ELEVADORES</t>
  </si>
  <si>
    <t>3951</t>
  </si>
  <si>
    <t>SERVIÇO DE DOSIMETRIA</t>
  </si>
  <si>
    <t>3957</t>
  </si>
  <si>
    <t>2015</t>
  </si>
  <si>
    <t>RENTATEC</t>
  </si>
  <si>
    <t>3978</t>
  </si>
  <si>
    <t>Serviço de coleta de resíduo orgânico</t>
  </si>
  <si>
    <t>Serviço de coleta de LIXO HOSPITALAR</t>
  </si>
  <si>
    <t>MANUTENÇÃO COMPUTADORES</t>
  </si>
  <si>
    <t>TOTAL</t>
  </si>
  <si>
    <t>MANUTENÇÃO GRUPO GERADOR</t>
  </si>
  <si>
    <t>JULHO 2017 A JULHO 2018</t>
  </si>
  <si>
    <t>2017</t>
  </si>
  <si>
    <t>GÊNEROS ALIMENTÍCIOS</t>
  </si>
  <si>
    <t>DIETAS SUPLEMENTOS E MÓDULOS</t>
  </si>
  <si>
    <t>ÁGUA MINERAL</t>
  </si>
  <si>
    <t>PÃES</t>
  </si>
  <si>
    <t>2016</t>
  </si>
  <si>
    <t>MATERIAL DE EXPEDIENTE</t>
  </si>
  <si>
    <t>2014</t>
  </si>
  <si>
    <t>MATERIAL DE LIMPEZA</t>
  </si>
  <si>
    <t>TOTAL MAIS 10%</t>
  </si>
  <si>
    <t>HIGIENE PESSOAL</t>
  </si>
  <si>
    <t>PAPEL TOALHA</t>
  </si>
  <si>
    <t>Contraste radiológico</t>
  </si>
  <si>
    <t>TELAS CIRURGICAS</t>
  </si>
  <si>
    <t>ACESSÓRIOS PARA INFUSÃO</t>
  </si>
  <si>
    <t>PASTA GEL E ELETRODO</t>
  </si>
  <si>
    <t>CURATIVOS ESPECIAIS</t>
  </si>
  <si>
    <t>CAMPOS CIRÚRGICOS AVENTAIS E KITS</t>
  </si>
  <si>
    <t>CÂNULAS</t>
  </si>
  <si>
    <t>PAPEL GRAU CIRURGICO</t>
  </si>
  <si>
    <t>CATETER</t>
  </si>
  <si>
    <t>3040</t>
  </si>
  <si>
    <t>FRASCOS DE HEMOCULTURA</t>
  </si>
  <si>
    <t>REAGENTES</t>
  </si>
  <si>
    <t>LIMPEZA CAIXA DÁGUA</t>
  </si>
  <si>
    <t>LOTE ÚNICO CRED 001/17</t>
  </si>
  <si>
    <t>SECRETARIA DE ESTADO DA FAZENDA</t>
  </si>
  <si>
    <t>COORDENAÇÃO DE ORÇAMENTO E PROGRAMAÇÃO</t>
  </si>
  <si>
    <t>UNIDADE: 4760 - Fundo Estadual de Saúde - Funsaúde</t>
  </si>
  <si>
    <t>ATIVIDADE: 4179 - Serviços de Saúde - HPM</t>
  </si>
  <si>
    <t>Despesa</t>
  </si>
  <si>
    <t>Nome da despesa</t>
  </si>
  <si>
    <t>Valor necessário por Unidade</t>
  </si>
  <si>
    <t>Fonte A - Fonte 100</t>
  </si>
  <si>
    <t>Fonte B</t>
  </si>
  <si>
    <t>Fonte C</t>
  </si>
  <si>
    <t>3390.3004</t>
  </si>
  <si>
    <t>Gás Engarrafado</t>
  </si>
  <si>
    <t>3390.3007</t>
  </si>
  <si>
    <t>Gêneros de Alimentação</t>
  </si>
  <si>
    <t>3390.3009</t>
  </si>
  <si>
    <t>Material Farmacológico</t>
  </si>
  <si>
    <t>3390.3010</t>
  </si>
  <si>
    <t>Material Odontológico</t>
  </si>
  <si>
    <t>3390.3011</t>
  </si>
  <si>
    <t>Aquisição de Material Químico</t>
  </si>
  <si>
    <t>3390.3016</t>
  </si>
  <si>
    <t>Material de Expediente</t>
  </si>
  <si>
    <t>3390.3017</t>
  </si>
  <si>
    <t>Material de Processamento de Dados</t>
  </si>
  <si>
    <t>3390.3019</t>
  </si>
  <si>
    <t>Material de Acondicionamento e Embalagem</t>
  </si>
  <si>
    <t>3390.3020</t>
  </si>
  <si>
    <t>Material de Cama, Mesa e Banho</t>
  </si>
  <si>
    <t>3390.3021</t>
  </si>
  <si>
    <t>Material de Copa e Cozinha</t>
  </si>
  <si>
    <t>3390.3022</t>
  </si>
  <si>
    <t>Material de Limpeza e Produção de Higienização</t>
  </si>
  <si>
    <t>3390.3023</t>
  </si>
  <si>
    <t>Uniformes, Tecidos e Aviamentos</t>
  </si>
  <si>
    <t>3390.3024</t>
  </si>
  <si>
    <t>Material para Reparos e Manutenção de Bens Imóveis</t>
  </si>
  <si>
    <t>3390.3025</t>
  </si>
  <si>
    <t>Material para Reparos e Manutenção de Bens Móveis</t>
  </si>
  <si>
    <t>3390.3026</t>
  </si>
  <si>
    <t>Material Elétrico e Eletrônico</t>
  </si>
  <si>
    <t>3390.3028</t>
  </si>
  <si>
    <t>Material de Proteção e Segurança</t>
  </si>
  <si>
    <t>3390.3029</t>
  </si>
  <si>
    <t>Material para Áudio, Vídeo e Foto</t>
  </si>
  <si>
    <t>3390.3035</t>
  </si>
  <si>
    <t>Material Laboratorial</t>
  </si>
  <si>
    <t>3390.3036</t>
  </si>
  <si>
    <t>Material Hospitalar</t>
  </si>
  <si>
    <t>3390.3039</t>
  </si>
  <si>
    <t>PNEUS E CAMARAS</t>
  </si>
  <si>
    <t>3390.3041</t>
  </si>
  <si>
    <t>Material para Utilização em Gráfica</t>
  </si>
  <si>
    <t>3390.3042</t>
  </si>
  <si>
    <t>Ferramentas</t>
  </si>
  <si>
    <t>3390.3096</t>
  </si>
  <si>
    <t>Material de Consumo - Pagamento Antecipado</t>
  </si>
  <si>
    <t>3390.3099</t>
  </si>
  <si>
    <t>Outros Materiais de Consumo</t>
  </si>
  <si>
    <t>3390.3701</t>
  </si>
  <si>
    <t>Limpeza e Conservação</t>
  </si>
  <si>
    <t>3390.3901</t>
  </si>
  <si>
    <t>Assinaturas e Revistas, Jornais e Periódicoso-de-Obra</t>
  </si>
  <si>
    <t>3390.3905</t>
  </si>
  <si>
    <t>Serviços Técnicos Profissionais</t>
  </si>
  <si>
    <t>3390.3911</t>
  </si>
  <si>
    <t>Locação e permissão de uso de softwares</t>
  </si>
  <si>
    <t>3390.3912</t>
  </si>
  <si>
    <t>Locação de Máq. e Equip.</t>
  </si>
  <si>
    <t>3390.3916</t>
  </si>
  <si>
    <t>Manutenção, adaptação e substituição de bens imóveis</t>
  </si>
  <si>
    <t>3390.3917</t>
  </si>
  <si>
    <t>Manutenção e conservação de máquinas e equipamentos</t>
  </si>
  <si>
    <t>3390.3920</t>
  </si>
  <si>
    <t>Manutenção e conservação de bens móveis</t>
  </si>
  <si>
    <t>3390.3922</t>
  </si>
  <si>
    <t>Exposições, congressos e conferências</t>
  </si>
  <si>
    <t>3390.3943</t>
  </si>
  <si>
    <t>Energia Elétrica</t>
  </si>
  <si>
    <t>3390.3948</t>
  </si>
  <si>
    <t>Serviços de seleção e treinamento</t>
  </si>
  <si>
    <t>3390.3950</t>
  </si>
  <si>
    <t>Serviços médico-hospitalares e odontológicos</t>
  </si>
  <si>
    <t>3390.3951</t>
  </si>
  <si>
    <t>Serviços de análises e pesquisas científicas</t>
  </si>
  <si>
    <t>3390.3957</t>
  </si>
  <si>
    <t>Serviços de Processamento de dados</t>
  </si>
  <si>
    <t>3390.3958</t>
  </si>
  <si>
    <t>Telefone</t>
  </si>
  <si>
    <t>3390.3963</t>
  </si>
  <si>
    <t>Serviços gráficos e de encadernação</t>
  </si>
  <si>
    <t>3390.3978</t>
  </si>
  <si>
    <t>3390.3990</t>
  </si>
  <si>
    <t>Publicações de editais,extratos,convocações e assemelhados</t>
  </si>
  <si>
    <t>3390.3996</t>
  </si>
  <si>
    <t>Outros Serviços de Terceiros - Pagamento antecipado</t>
  </si>
  <si>
    <t>3390.9200</t>
  </si>
  <si>
    <t xml:space="preserve">Despesas de exercícios anteriores </t>
  </si>
  <si>
    <t>3390.9300</t>
  </si>
  <si>
    <t>Indenizações e restituições</t>
  </si>
  <si>
    <t>ENTREGA ÚNICA</t>
  </si>
  <si>
    <t>EMPENHOS MENSAIS</t>
  </si>
  <si>
    <t>VALOR MENSAL</t>
  </si>
  <si>
    <t>VALOR TOTAL</t>
  </si>
  <si>
    <t>VALIDADE CONTRATO</t>
  </si>
  <si>
    <t>MATERIAL DE PROTEÇÃO INDIVIDUAL</t>
  </si>
  <si>
    <t>14.469.313-2</t>
  </si>
  <si>
    <t>MEDICAMENTOS A Z</t>
  </si>
  <si>
    <t>14.356.287-5</t>
  </si>
  <si>
    <t>PRODUTOS LIMPEZA</t>
  </si>
  <si>
    <t>14.464.048-9</t>
  </si>
  <si>
    <t>CLINICA EVANGELICO RENOVAÇÃO</t>
  </si>
  <si>
    <t>14.413.835-0</t>
  </si>
  <si>
    <t>14.514.305-5</t>
  </si>
  <si>
    <t>14.458.655-7</t>
  </si>
  <si>
    <t>NÃO FOI RENOVADO</t>
  </si>
  <si>
    <t>14.581.794-3</t>
  </si>
  <si>
    <t>14.463.019-0</t>
  </si>
  <si>
    <t>ACESSÓRIOS DE INFUSÃO</t>
  </si>
  <si>
    <t>14.295.170-3</t>
  </si>
  <si>
    <t>CONEMED (RESTANTE CONTRATUAL)</t>
  </si>
  <si>
    <t>14.055.216-0</t>
  </si>
  <si>
    <t>14.286.974-8</t>
  </si>
  <si>
    <t>ESTERIFLEX PRORROGAÇÃO</t>
  </si>
  <si>
    <t>14.517.129-6</t>
  </si>
  <si>
    <t>14.346.082-7</t>
  </si>
  <si>
    <t>CENTRAL DE VÁCUO</t>
  </si>
  <si>
    <t>14.687.479-7</t>
  </si>
  <si>
    <t>CLIP DE TITANEO</t>
  </si>
  <si>
    <t>14.588.373-3</t>
  </si>
  <si>
    <t>14.324.161-0</t>
  </si>
  <si>
    <t>14.586.603-0</t>
  </si>
  <si>
    <t>VICENLAB PRORROGAÇÃO</t>
  </si>
  <si>
    <t>14.476.962-7</t>
  </si>
  <si>
    <t>SONDAS DIVERSAS</t>
  </si>
  <si>
    <t>14.585.166-1</t>
  </si>
  <si>
    <t>DIVERSOS MMH</t>
  </si>
  <si>
    <t>14.184.331-1</t>
  </si>
  <si>
    <t>AGULHAS DESCARTAVEIS</t>
  </si>
  <si>
    <t>14.585.920-4</t>
  </si>
  <si>
    <t>14.225.211-2</t>
  </si>
  <si>
    <t>14.601.534-4</t>
  </si>
  <si>
    <t>HORTIFRUTI</t>
  </si>
  <si>
    <t>14.581.163-5</t>
  </si>
  <si>
    <t>CATETERES</t>
  </si>
  <si>
    <t>14.601.318-0</t>
  </si>
  <si>
    <t>BIO RESIDUOS</t>
  </si>
  <si>
    <t>14.473.271-5</t>
  </si>
  <si>
    <t>CANULAS</t>
  </si>
  <si>
    <t>14.600.981-6</t>
  </si>
  <si>
    <t>14.325.260-4</t>
  </si>
  <si>
    <t>MANUTENÇÃO IMPRESSORA</t>
  </si>
  <si>
    <t>14.165.127-7</t>
  </si>
  <si>
    <t>CARNES E DERIVADOS</t>
  </si>
  <si>
    <t>14.587.118-2</t>
  </si>
  <si>
    <t>14.600.892-5</t>
  </si>
  <si>
    <t>KITS REAGENTES COBAS</t>
  </si>
  <si>
    <t>14.584.138-0</t>
  </si>
  <si>
    <t>PNEUS, CÂMARAS E ACESSÓRIOS</t>
  </si>
  <si>
    <t>14.607.348-4</t>
  </si>
  <si>
    <t>MANUTENÇÃO RAIO X</t>
  </si>
  <si>
    <t>14.129.334-6</t>
  </si>
  <si>
    <t>TIRAS E LANCETAS</t>
  </si>
  <si>
    <t>14.610.970-5</t>
  </si>
  <si>
    <t>LOCAÇÃO EQUIP. HEMATO</t>
  </si>
  <si>
    <t>14.191.081-7</t>
  </si>
  <si>
    <t>REAJUSTE ULTRAGAS</t>
  </si>
  <si>
    <t>14.596.415-6</t>
  </si>
  <si>
    <t>AGUARDANDO ADITIVO</t>
  </si>
  <si>
    <t>CAMPOS CIRURGICOS</t>
  </si>
  <si>
    <t>13.949.722-8</t>
  </si>
  <si>
    <t>14.612.510-7</t>
  </si>
  <si>
    <t>PRODUTOS PARA HIGIEN. MÃOS</t>
  </si>
  <si>
    <t>14.172.290-5</t>
  </si>
  <si>
    <t>FRACASSADO</t>
  </si>
  <si>
    <t>14.645.373-2</t>
  </si>
  <si>
    <t>14.339.077-2</t>
  </si>
  <si>
    <t>LANCETAS PARA COLETA</t>
  </si>
  <si>
    <t>14.656.018-0</t>
  </si>
  <si>
    <t>ALIMENTOS EM SACHÊ (EMERGENCIAL)</t>
  </si>
  <si>
    <t>14.377.557-7</t>
  </si>
  <si>
    <t>SERINGA PARA INSULINA</t>
  </si>
  <si>
    <t>14.693.568-0</t>
  </si>
  <si>
    <t>14.502.212-6</t>
  </si>
  <si>
    <t>TONER</t>
  </si>
  <si>
    <t>14.693.810-8</t>
  </si>
  <si>
    <t>14.607.862-1</t>
  </si>
  <si>
    <t>14.697.273-0</t>
  </si>
  <si>
    <t>REAGENTES PARA IMUNOQUIMICA</t>
  </si>
  <si>
    <t>14.605.370-0</t>
  </si>
  <si>
    <t>SACO LIXO LARANJA (CARONA)</t>
  </si>
  <si>
    <t>14.705.298-7</t>
  </si>
  <si>
    <t>GENEROS ALIMENTICIOS</t>
  </si>
  <si>
    <t>14.604.944-3</t>
  </si>
  <si>
    <t>REVESTIMENTO POLTRONAS</t>
  </si>
  <si>
    <t>14.731.044-7</t>
  </si>
  <si>
    <t>AGUARDANDO CONTRATO</t>
  </si>
  <si>
    <t>PÃO</t>
  </si>
  <si>
    <t>14.604.840-4</t>
  </si>
  <si>
    <t>MANUTENÇÃO ENDOSCÓPIOS</t>
  </si>
  <si>
    <t>14.772.954-5</t>
  </si>
  <si>
    <t>14.608.836-8</t>
  </si>
  <si>
    <t>14.783.432-2</t>
  </si>
  <si>
    <t>GRAMPEADORES CIRURGICOS</t>
  </si>
  <si>
    <t>14.612.054-7</t>
  </si>
  <si>
    <t>14.783.875-1</t>
  </si>
  <si>
    <t>14.566.965-0</t>
  </si>
  <si>
    <t>AÇÚCAR</t>
  </si>
  <si>
    <t>14.795.529-4</t>
  </si>
  <si>
    <t>14.640.217-8</t>
  </si>
  <si>
    <t>14.803.533-4</t>
  </si>
  <si>
    <t>FEIJÃO E AÇUCAR</t>
  </si>
  <si>
    <t>14.642.278-0</t>
  </si>
  <si>
    <t>AGUARDANDO EMPENHO</t>
  </si>
  <si>
    <t>CATETER DUPLO J</t>
  </si>
  <si>
    <t>14.801.469-8</t>
  </si>
  <si>
    <t>ARROZ</t>
  </si>
  <si>
    <t>14.642.078-8</t>
  </si>
  <si>
    <t>BOBINA DE LONA PLÁSTICA</t>
  </si>
  <si>
    <t>14.802.261-5</t>
  </si>
  <si>
    <t>DIETAS E SUPLEMENTOS</t>
  </si>
  <si>
    <t>14.654.250-6</t>
  </si>
  <si>
    <t>14.882.070-8</t>
  </si>
  <si>
    <t>HMD PRORROGAÇÃO LOTE 01</t>
  </si>
  <si>
    <t>14.683.942-8</t>
  </si>
  <si>
    <t>INSUMOS PARA LIMPEZA</t>
  </si>
  <si>
    <t>14.881.100-8</t>
  </si>
  <si>
    <t>HMD PRORROGAÇÃO LOTE 02</t>
  </si>
  <si>
    <t>14.917.331-5</t>
  </si>
  <si>
    <t>PRORAD PRORROGAÇÃO</t>
  </si>
  <si>
    <t>14.685.497-4</t>
  </si>
  <si>
    <t>LIXEIRAS, DISPENSER E BEBEDOURO</t>
  </si>
  <si>
    <t>14.919.393-6</t>
  </si>
  <si>
    <t>ARQUIVADO COMPRAS</t>
  </si>
  <si>
    <t>IMPRESSORAS PULSEIRAS</t>
  </si>
  <si>
    <t>14.787.064-7</t>
  </si>
  <si>
    <t>MULTI SAÚDE LOTE ÚNICO 002/16 PRORROGAÇÃO</t>
  </si>
  <si>
    <t>14.692.573-1</t>
  </si>
  <si>
    <t>MOBILIÁRIO - PARTICIPANTE</t>
  </si>
  <si>
    <t>14.971.055-8</t>
  </si>
  <si>
    <t>MANUT. RELÓGIO PONTO</t>
  </si>
  <si>
    <t>14.697.117-2</t>
  </si>
  <si>
    <t>MOBILIÁRIO - CARONA</t>
  </si>
  <si>
    <t>14.787.076-0</t>
  </si>
  <si>
    <t>DIETAS ESPECIAIS</t>
  </si>
  <si>
    <t>14.704.881-5</t>
  </si>
  <si>
    <t>14.698.830-0</t>
  </si>
  <si>
    <t>PE 10/11 ÁS 09H30</t>
  </si>
  <si>
    <t>ENGENHARIA CLINICA (RENOVAÇÃO)</t>
  </si>
  <si>
    <t>14.747.279-0</t>
  </si>
  <si>
    <t>COSTANTINI LOTE 01 (READEQUAÇÃO)</t>
  </si>
  <si>
    <t>14.747.016-9</t>
  </si>
  <si>
    <t>NEURO FOREL LOTE 35 (READEQUAÇÃO)</t>
  </si>
  <si>
    <t>14.753.053-6</t>
  </si>
  <si>
    <t>PATOLOGIA HUMANA (RENOVAÇÃO)</t>
  </si>
  <si>
    <t>14.604.243-0</t>
  </si>
  <si>
    <t>14.765.339-5</t>
  </si>
  <si>
    <t>PE 22/11 ÁS 09H30</t>
  </si>
  <si>
    <t>MANUTENÇÃO INSTRUMENTAL CIRURGICO</t>
  </si>
  <si>
    <t>14.789.249-7</t>
  </si>
  <si>
    <t>PE 09/11 ÁS 09H30</t>
  </si>
  <si>
    <t>14.739.078-5</t>
  </si>
  <si>
    <t>BOM RETIRO LOTE 04 (READEQUAÇÃO)</t>
  </si>
  <si>
    <t>14.808.853-5</t>
  </si>
  <si>
    <t>SANTA CASA LOTE 17 (RENOVAÇÃO)</t>
  </si>
  <si>
    <t>14.793.187-5</t>
  </si>
  <si>
    <t>SANTA CASA LOTE 01 (RENOVAÇÃO)</t>
  </si>
  <si>
    <t>14.794.011-4</t>
  </si>
  <si>
    <t>14.806.546-2</t>
  </si>
  <si>
    <t>14.802.151-1</t>
  </si>
  <si>
    <t>CENTRO DE ONCOLOGIA LOTE 01 (RENOVAÇÃO)</t>
  </si>
  <si>
    <t>14.793.848-9</t>
  </si>
  <si>
    <t>INSTITUTO DE ERGONOMIA LOTE 50 (RENOVAÇÃO)</t>
  </si>
  <si>
    <t>14.769.813-5</t>
  </si>
  <si>
    <t>MARC MEDICINA LOTE 50 (RENOVAÇÃO)</t>
  </si>
  <si>
    <t>14.770.538-7</t>
  </si>
  <si>
    <t>COPPAS LOTE 50 (RENOVAÇÃO)</t>
  </si>
  <si>
    <t>14.770.801-7</t>
  </si>
  <si>
    <t>J JULIANO LOTES 20 E 22 (RENOVAÇÃO)</t>
  </si>
  <si>
    <t>14.793.979-5</t>
  </si>
  <si>
    <t>ELI LOTE 21 (RENOVAÇÃO)</t>
  </si>
  <si>
    <t>14.794.280-0</t>
  </si>
  <si>
    <t>CLINICA AGUA VERDE LOTE 20, 21 E 27 (RENOVAÇÃO)</t>
  </si>
  <si>
    <t>14.771.311-8</t>
  </si>
  <si>
    <t>FISIOMED LOTE 02 (RENOVAÇÃO)</t>
  </si>
  <si>
    <t>14.789.552-6</t>
  </si>
  <si>
    <t>COSTANTINI LOTE 01 (RENOVAÇÃO)</t>
  </si>
  <si>
    <t>14.794.290-7</t>
  </si>
  <si>
    <t>COSTANTINI LOTE 28 (RENOVAÇÃO)</t>
  </si>
  <si>
    <t>14.795.814-5</t>
  </si>
  <si>
    <t>PRIMA LOTE 27 (RENOVAÇÃO)</t>
  </si>
  <si>
    <t>14.795.216-3</t>
  </si>
  <si>
    <t>PMG LOTE 18 (RENOVAÇÃO)</t>
  </si>
  <si>
    <t>14.788.931-3</t>
  </si>
  <si>
    <t>NEURO FOREL LOTE 18, 33 E 35 (RENOVAÇÃO)</t>
  </si>
  <si>
    <t>14.793.701-6</t>
  </si>
  <si>
    <t>AW LOTES 29 E 41 (RENOVAÇÃO)</t>
  </si>
  <si>
    <t>14.795.309-7</t>
  </si>
  <si>
    <t>QUANTA LOTE 36 (RENOVAÇÃO)</t>
  </si>
  <si>
    <t>14.795.378-0</t>
  </si>
  <si>
    <t>UROCLINICA LOTE 39 (RENOVAÇÃO)</t>
  </si>
  <si>
    <t>14.796.473-0</t>
  </si>
  <si>
    <t>CITOPAR LOTE 42 (RENOVAÇÃO)</t>
  </si>
  <si>
    <t>14.796.555-9</t>
  </si>
  <si>
    <t>BYORI LOTE 42 (RENOVAÇÃO)</t>
  </si>
  <si>
    <t>14.788.612-8</t>
  </si>
  <si>
    <t>OFTALMOCLINICA LOTE 43 (RENOVAÇÃO)</t>
  </si>
  <si>
    <t>14.796.653-9</t>
  </si>
  <si>
    <t>HOSPITAL DE OLHOS LOTE 43 (RENOVAÇÃO)</t>
  </si>
  <si>
    <t>14.609.968-8</t>
  </si>
  <si>
    <t>MARCHIORI LOTE 46 (RENOVAÇÃO)</t>
  </si>
  <si>
    <t>14.796.853-1</t>
  </si>
  <si>
    <t>DAL IMAGEM LOTE 44 (RENOVAÇÃO)</t>
  </si>
  <si>
    <t>14.796.736-5</t>
  </si>
  <si>
    <t>MANUTENÇÃO DE MOTO GERADOR</t>
  </si>
  <si>
    <t>14.764.774-3</t>
  </si>
  <si>
    <t>AGUARDANDO LICITAÇÃO</t>
  </si>
  <si>
    <t>TRANSRESIDUOS (RENOVAÇÃO)</t>
  </si>
  <si>
    <t>14.825.623-3</t>
  </si>
  <si>
    <t>SANTA BRIGIDA (HABILITAÇÃO)</t>
  </si>
  <si>
    <t>14.823.326-8</t>
  </si>
  <si>
    <t>CARGAS DE GASES MEDICINAIS</t>
  </si>
  <si>
    <t>14.831.959-6</t>
  </si>
  <si>
    <t>SANEANTES</t>
  </si>
  <si>
    <t>14.836.515-6</t>
  </si>
  <si>
    <t>MEDICINA NUCLEAR ALTO DA XV (READEQUAÇÃO)</t>
  </si>
  <si>
    <t>14.837.979-3</t>
  </si>
  <si>
    <t>MMH LICITATÓRIO</t>
  </si>
  <si>
    <t>14.845.277-6</t>
  </si>
  <si>
    <t>14.842.664-3</t>
  </si>
  <si>
    <t>MANUTENÇÃO PREDIAL (CARONA)</t>
  </si>
  <si>
    <t>14.812.639-9</t>
  </si>
  <si>
    <t>14.725.825-9</t>
  </si>
  <si>
    <t>INSUMOS E REAGENTES DE MICROBIOLOGIA</t>
  </si>
  <si>
    <t>14.735.427-4</t>
  </si>
  <si>
    <t>PE 30/10 ÁS 14H00</t>
  </si>
  <si>
    <t>PLACAS DE SINALIZAÇÃO</t>
  </si>
  <si>
    <t>14.896.738-5</t>
  </si>
  <si>
    <t>CARGAS DE GASES MEDICINAIS (DISPENSA)</t>
  </si>
  <si>
    <t>14.897.140-4</t>
  </si>
  <si>
    <t>CMI (READEQUAÇÃO)</t>
  </si>
  <si>
    <t>14.904.366-7</t>
  </si>
  <si>
    <t>FISIOMED (READEQUAÇÃO)</t>
  </si>
  <si>
    <t>14.904.544-9</t>
  </si>
  <si>
    <t>TAUTON (RENOVAÇÃO)</t>
  </si>
  <si>
    <t>14.912.242-7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</si>
</sst>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_-[$R$-416]\ * #,##0.00_-;\-[$R$-416]\ * #,##0.00_-;_-[$R$-416]\ * &quot;-&quot;??_-;_-@"/>
    <numFmt numFmtId="166" formatCode="&quot;R$&quot;\ #,##0.00"/>
    <numFmt numFmtId="167" formatCode="dd/mm/yy"/>
    <numFmt numFmtId="168" formatCode="&quot;R$&quot;\ #,##0.00;[Red]\-&quot;R$&quot;\ #,##0.00"/>
    <numFmt numFmtId="169" formatCode="_-&quot;R$&quot;\ * #,##0.00_-;\-&quot;R$&quot;\ * #,##0.00_-;_-&quot;R$&quot;\ * &quot;-&quot;??_-;_-@"/>
  </numFmts>
  <fonts count="28">
    <font>
      <sz val="10.0"/>
      <color rgb="FF000000"/>
      <name val="Arial"/>
    </font>
    <font>
      <sz val="10.0"/>
      <name val="Arial"/>
    </font>
    <font>
      <b/>
      <sz val="10.0"/>
      <name val="Arial"/>
    </font>
    <font>
      <sz val="7.0"/>
      <name val="Calibri"/>
    </font>
    <font>
      <b/>
      <sz val="10.0"/>
      <color rgb="FFFFFF00"/>
      <name val="Arial"/>
    </font>
    <font>
      <sz val="8.0"/>
      <name val="Arial"/>
    </font>
    <font/>
    <font>
      <sz val="10.0"/>
      <color rgb="FF000000"/>
      <name val="Calibri"/>
    </font>
    <font>
      <sz val="9.0"/>
      <color rgb="FF000000"/>
      <name val="Arial"/>
    </font>
    <font>
      <sz val="12.0"/>
      <color rgb="FF000000"/>
      <name val="Calibri"/>
    </font>
    <font>
      <sz val="7.0"/>
      <name val="Arial"/>
    </font>
    <font>
      <sz val="14.0"/>
      <color rgb="FF000000"/>
      <name val="Calibri"/>
    </font>
    <font>
      <b/>
      <sz val="12.0"/>
      <color rgb="FF000000"/>
      <name val="Calibri"/>
    </font>
    <font>
      <sz val="10.0"/>
      <name val="Calibri"/>
    </font>
    <font>
      <sz val="7.0"/>
      <color rgb="FF000000"/>
      <name val="Calibri"/>
    </font>
    <font>
      <sz val="9.0"/>
      <color rgb="FF000000"/>
      <name val="Calibri"/>
    </font>
    <font>
      <b/>
      <sz val="9.0"/>
      <color rgb="FF000000"/>
      <name val="Arial"/>
    </font>
    <font>
      <sz val="9.0"/>
      <name val="Calibri"/>
    </font>
    <font>
      <b/>
      <sz val="12.0"/>
      <color rgb="FF000000"/>
      <name val="Arial"/>
    </font>
    <font>
      <sz val="9.0"/>
      <name val="Arial"/>
    </font>
    <font>
      <b/>
      <sz val="9.0"/>
      <color rgb="FF000000"/>
      <name val="Calibri"/>
    </font>
    <font>
      <b/>
      <sz val="9.0"/>
      <name val="Calibri"/>
    </font>
    <font>
      <sz val="11.0"/>
      <name val="Arial"/>
    </font>
    <font>
      <sz val="11.0"/>
      <color rgb="FF000000"/>
      <name val="Arial"/>
    </font>
    <font>
      <sz val="10.0"/>
      <color rgb="FF000000"/>
      <name val="Times New Roman"/>
    </font>
    <font>
      <b/>
      <sz val="12.0"/>
      <color rgb="FF000000"/>
      <name val="Times New Roman"/>
    </font>
    <font>
      <b/>
      <sz val="10.0"/>
      <color rgb="FF000000"/>
      <name val="Times New Roman"/>
    </font>
    <font>
      <b/>
      <i/>
      <sz val="12.0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B2B2B2"/>
        <bgColor rgb="FFB2B2B2"/>
      </patternFill>
    </fill>
    <fill>
      <patternFill patternType="solid">
        <fgColor rgb="FF8DB3E2"/>
        <bgColor rgb="FF8DB3E2"/>
      </patternFill>
    </fill>
    <fill>
      <patternFill patternType="solid">
        <fgColor rgb="FFD6E3BC"/>
        <bgColor rgb="FFD6E3BC"/>
      </patternFill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F2F2F2"/>
        <bgColor rgb="FFF2F2F2"/>
      </patternFill>
    </fill>
    <fill>
      <patternFill patternType="solid">
        <fgColor rgb="FF009999"/>
        <bgColor rgb="FF009999"/>
      </patternFill>
    </fill>
    <fill>
      <patternFill patternType="solid">
        <fgColor rgb="FFE5B8B7"/>
        <bgColor rgb="FFE5B8B7"/>
      </patternFill>
    </fill>
    <fill>
      <patternFill patternType="solid">
        <fgColor rgb="FFD8D8D8"/>
        <bgColor rgb="FFD8D8D8"/>
      </patternFill>
    </fill>
    <fill>
      <patternFill patternType="solid">
        <fgColor rgb="FF8DB4E3"/>
        <bgColor rgb="FF8DB4E3"/>
      </patternFill>
    </fill>
    <fill>
      <patternFill patternType="solid">
        <fgColor rgb="FF95B3D7"/>
        <bgColor rgb="FF95B3D7"/>
      </patternFill>
    </fill>
    <fill>
      <patternFill patternType="solid">
        <fgColor rgb="FFA5A5A5"/>
        <bgColor rgb="FFA5A5A5"/>
      </patternFill>
    </fill>
  </fills>
  <borders count="3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/>
      <right/>
      <bottom/>
    </border>
    <border>
      <left/>
      <right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ck">
        <color rgb="FF000000"/>
      </right>
      <top style="thin">
        <color rgb="FF000000"/>
      </top>
      <bottom/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2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1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0" fillId="0" fontId="1" numFmtId="166" xfId="0" applyAlignment="1" applyFont="1" applyNumberFormat="1">
      <alignment horizontal="center" shrinkToFit="0" vertical="bottom" wrapText="0"/>
    </xf>
    <xf borderId="1" fillId="2" fontId="1" numFmtId="166" xfId="0" applyAlignment="1" applyBorder="1" applyFont="1" applyNumberFormat="1">
      <alignment horizontal="center"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" fillId="3" fontId="1" numFmtId="167" xfId="0" applyAlignment="1" applyBorder="1" applyFont="1" applyNumberFormat="1">
      <alignment horizontal="center" shrinkToFit="0" vertical="bottom" wrapText="0"/>
    </xf>
    <xf borderId="1" fillId="3" fontId="1" numFmtId="166" xfId="0" applyAlignment="1" applyBorder="1" applyFont="1" applyNumberFormat="1">
      <alignment horizontal="center" shrinkToFit="0" vertical="bottom" wrapText="0"/>
    </xf>
    <xf borderId="0" fillId="0" fontId="1" numFmtId="166" xfId="0" applyAlignment="1" applyFont="1" applyNumberFormat="1">
      <alignment shrinkToFit="0" vertical="bottom" wrapText="0"/>
    </xf>
    <xf borderId="1" fillId="4" fontId="1" numFmtId="0" xfId="0" applyAlignment="1" applyBorder="1" applyFill="1" applyFont="1">
      <alignment shrinkToFit="0" vertical="bottom" wrapText="0"/>
    </xf>
    <xf borderId="1" fillId="4" fontId="1" numFmtId="167" xfId="0" applyAlignment="1" applyBorder="1" applyFont="1" applyNumberFormat="1">
      <alignment horizontal="center" shrinkToFit="0" vertical="bottom" wrapText="0"/>
    </xf>
    <xf borderId="1" fillId="4" fontId="1" numFmtId="166" xfId="0" applyAlignment="1" applyBorder="1" applyFont="1" applyNumberFormat="1">
      <alignment horizontal="center" shrinkToFit="0" vertical="bottom" wrapText="0"/>
    </xf>
    <xf borderId="1" fillId="5" fontId="1" numFmtId="0" xfId="0" applyAlignment="1" applyBorder="1" applyFill="1" applyFont="1">
      <alignment shrinkToFit="0" vertical="bottom" wrapText="0"/>
    </xf>
    <xf borderId="0" fillId="0" fontId="1" numFmtId="167" xfId="0" applyAlignment="1" applyFont="1" applyNumberFormat="1">
      <alignment horizontal="center" shrinkToFit="0" vertical="bottom" wrapText="0"/>
    </xf>
    <xf borderId="1" fillId="6" fontId="1" numFmtId="166" xfId="0" applyAlignment="1" applyBorder="1" applyFill="1" applyFont="1" applyNumberFormat="1">
      <alignment horizontal="center" shrinkToFit="0" vertical="bottom" wrapText="0"/>
    </xf>
    <xf borderId="0" fillId="0" fontId="3" numFmtId="167" xfId="0" applyAlignment="1" applyFont="1" applyNumberForma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1" numFmtId="16" xfId="0" applyAlignment="1" applyFont="1" applyNumberFormat="1">
      <alignment shrinkToFit="0" vertical="bottom" wrapText="0"/>
    </xf>
    <xf borderId="1" fillId="7" fontId="1" numFmtId="0" xfId="0" applyAlignment="1" applyBorder="1" applyFill="1" applyFont="1">
      <alignment shrinkToFit="0" vertical="bottom" wrapText="0"/>
    </xf>
    <xf borderId="1" fillId="7" fontId="1" numFmtId="167" xfId="0" applyAlignment="1" applyBorder="1" applyFont="1" applyNumberFormat="1">
      <alignment horizontal="center" shrinkToFit="0" vertical="bottom" wrapText="0"/>
    </xf>
    <xf borderId="1" fillId="7" fontId="1" numFmtId="166" xfId="0" applyAlignment="1" applyBorder="1" applyFont="1" applyNumberFormat="1">
      <alignment horizontal="center" shrinkToFit="0" vertical="bottom" wrapText="0"/>
    </xf>
    <xf borderId="1" fillId="7" fontId="1" numFmtId="164" xfId="0" applyAlignment="1" applyBorder="1" applyFont="1" applyNumberFormat="1">
      <alignment horizontal="center" shrinkToFit="0" vertical="bottom" wrapText="0"/>
    </xf>
    <xf borderId="2" fillId="3" fontId="1" numFmtId="0" xfId="0" applyAlignment="1" applyBorder="1" applyFont="1">
      <alignment shrinkToFit="0" vertical="bottom" wrapText="0"/>
    </xf>
    <xf borderId="1" fillId="7" fontId="4" numFmtId="0" xfId="0" applyAlignment="1" applyBorder="1" applyFont="1">
      <alignment horizontal="center" shrinkToFit="0" vertical="center" wrapText="0"/>
    </xf>
    <xf borderId="2" fillId="3" fontId="1" numFmtId="167" xfId="0" applyAlignment="1" applyBorder="1" applyFont="1" applyNumberFormat="1">
      <alignment horizontal="center" shrinkToFit="0" vertical="bottom" wrapText="0"/>
    </xf>
    <xf borderId="2" fillId="3" fontId="1" numFmtId="0" xfId="0" applyAlignment="1" applyBorder="1" applyFont="1">
      <alignment horizontal="center" shrinkToFit="0" vertical="bottom" wrapText="0"/>
    </xf>
    <xf borderId="2" fillId="3" fontId="1" numFmtId="165" xfId="0" applyAlignment="1" applyBorder="1" applyFont="1" applyNumberFormat="1">
      <alignment horizontal="center" shrinkToFit="0" vertical="bottom" wrapText="0"/>
    </xf>
    <xf borderId="2" fillId="3" fontId="1" numFmtId="14" xfId="0" applyAlignment="1" applyBorder="1" applyFont="1" applyNumberFormat="1">
      <alignment horizontal="center" shrinkToFit="0" vertical="bottom" wrapText="0"/>
    </xf>
    <xf borderId="1" fillId="8" fontId="1" numFmtId="0" xfId="0" applyAlignment="1" applyBorder="1" applyFill="1" applyFont="1">
      <alignment shrinkToFit="0" vertical="bottom" wrapText="0"/>
    </xf>
    <xf borderId="1" fillId="3" fontId="1" numFmtId="14" xfId="0" applyAlignment="1" applyBorder="1" applyFont="1" applyNumberFormat="1">
      <alignment shrinkToFit="0" vertical="bottom" wrapText="0"/>
    </xf>
    <xf borderId="1" fillId="3" fontId="1" numFmtId="164" xfId="0" applyAlignment="1" applyBorder="1" applyFont="1" applyNumberFormat="1">
      <alignment horizontal="center" shrinkToFit="0" vertical="bottom" wrapText="0"/>
    </xf>
    <xf borderId="1" fillId="8" fontId="1" numFmtId="166" xfId="0" applyAlignment="1" applyBorder="1" applyFont="1" applyNumberFormat="1">
      <alignment shrinkToFit="0" vertical="bottom" wrapText="0"/>
    </xf>
    <xf borderId="1" fillId="3" fontId="5" numFmtId="14" xfId="0" applyAlignment="1" applyBorder="1" applyFont="1" applyNumberFormat="1">
      <alignment horizontal="center" shrinkToFit="0" vertical="bottom" wrapText="0"/>
    </xf>
    <xf borderId="1" fillId="3" fontId="5" numFmtId="0" xfId="0" applyAlignment="1" applyBorder="1" applyFont="1">
      <alignment horizontal="center" shrinkToFit="0" vertical="bottom" wrapText="0"/>
    </xf>
    <xf borderId="2" fillId="3" fontId="3" numFmtId="167" xfId="0" applyAlignment="1" applyBorder="1" applyFont="1" applyNumberFormat="1">
      <alignment horizontal="center" shrinkToFit="0" vertical="center" wrapText="0"/>
    </xf>
    <xf borderId="2" fillId="3" fontId="3" numFmtId="0" xfId="0" applyAlignment="1" applyBorder="1" applyFont="1">
      <alignment horizontal="center" shrinkToFit="0" vertical="center" wrapText="0"/>
    </xf>
    <xf borderId="1" fillId="4" fontId="1" numFmtId="14" xfId="0" applyAlignment="1" applyBorder="1" applyFont="1" applyNumberFormat="1">
      <alignment horizontal="center" shrinkToFit="0" vertical="bottom" wrapText="0"/>
    </xf>
    <xf borderId="2" fillId="7" fontId="1" numFmtId="0" xfId="0" applyAlignment="1" applyBorder="1" applyFont="1">
      <alignment shrinkToFit="0" vertical="bottom" wrapText="0"/>
    </xf>
    <xf borderId="2" fillId="7" fontId="1" numFmtId="167" xfId="0" applyAlignment="1" applyBorder="1" applyFont="1" applyNumberFormat="1">
      <alignment horizontal="center" shrinkToFit="0" vertical="bottom" wrapText="0"/>
    </xf>
    <xf borderId="2" fillId="7" fontId="1" numFmtId="0" xfId="0" applyAlignment="1" applyBorder="1" applyFont="1">
      <alignment horizontal="center" shrinkToFit="0" vertical="bottom" wrapText="0"/>
    </xf>
    <xf borderId="2" fillId="7" fontId="1" numFmtId="165" xfId="0" applyAlignment="1" applyBorder="1" applyFont="1" applyNumberFormat="1">
      <alignment horizontal="center" shrinkToFit="0" vertical="bottom" wrapText="0"/>
    </xf>
    <xf borderId="2" fillId="7" fontId="1" numFmtId="14" xfId="0" applyAlignment="1" applyBorder="1" applyFont="1" applyNumberFormat="1">
      <alignment horizontal="center" shrinkToFit="0" vertical="bottom" wrapText="0"/>
    </xf>
    <xf borderId="1" fillId="9" fontId="1" numFmtId="0" xfId="0" applyAlignment="1" applyBorder="1" applyFill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1" fillId="9" fontId="1" numFmtId="166" xfId="0" applyAlignment="1" applyBorder="1" applyFont="1" applyNumberFormat="1">
      <alignment shrinkToFit="0" vertical="bottom" wrapText="0"/>
    </xf>
    <xf borderId="2" fillId="4" fontId="1" numFmtId="0" xfId="0" applyAlignment="1" applyBorder="1" applyFont="1">
      <alignment shrinkToFit="0" vertical="bottom" wrapText="0"/>
    </xf>
    <xf borderId="2" fillId="4" fontId="1" numFmtId="167" xfId="0" applyAlignment="1" applyBorder="1" applyFont="1" applyNumberFormat="1">
      <alignment horizontal="center" shrinkToFit="0" vertical="bottom" wrapText="0"/>
    </xf>
    <xf borderId="2" fillId="4" fontId="1" numFmtId="0" xfId="0" applyAlignment="1" applyBorder="1" applyFont="1">
      <alignment horizontal="center" shrinkToFit="0" vertical="bottom" wrapText="0"/>
    </xf>
    <xf borderId="2" fillId="4" fontId="1" numFmtId="165" xfId="0" applyAlignment="1" applyBorder="1" applyFont="1" applyNumberFormat="1">
      <alignment horizontal="center" shrinkToFit="0" vertical="bottom" wrapText="0"/>
    </xf>
    <xf borderId="2" fillId="4" fontId="1" numFmtId="14" xfId="0" applyAlignment="1" applyBorder="1" applyFont="1" applyNumberFormat="1">
      <alignment horizontal="center" shrinkToFit="0" vertical="bottom" wrapText="0"/>
    </xf>
    <xf borderId="2" fillId="0" fontId="1" numFmtId="167" xfId="0" applyAlignment="1" applyBorder="1" applyFont="1" applyNumberForma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6" fontId="1" numFmtId="165" xfId="0" applyAlignment="1" applyBorder="1" applyFont="1" applyNumberFormat="1">
      <alignment horizontal="center" shrinkToFit="0" vertical="bottom" wrapText="0"/>
    </xf>
    <xf borderId="2" fillId="0" fontId="1" numFmtId="14" xfId="0" applyAlignment="1" applyBorder="1" applyFont="1" applyNumberFormat="1">
      <alignment horizontal="center" shrinkToFit="0" vertical="bottom" wrapText="0"/>
    </xf>
    <xf borderId="2" fillId="0" fontId="3" numFmtId="167" xfId="0" applyAlignment="1" applyBorder="1" applyFont="1" applyNumberForma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1" fillId="4" fontId="1" numFmtId="164" xfId="0" applyAlignment="1" applyBorder="1" applyFont="1" applyNumberFormat="1">
      <alignment horizontal="center" shrinkToFit="0" vertical="bottom" wrapText="0"/>
    </xf>
    <xf borderId="1" fillId="6" fontId="1" numFmtId="164" xfId="0" applyAlignment="1" applyBorder="1" applyFont="1" applyNumberFormat="1">
      <alignment horizontal="center" shrinkToFit="0" vertical="bottom" wrapText="0"/>
    </xf>
    <xf borderId="1" fillId="4" fontId="1" numFmtId="16" xfId="0" applyAlignment="1" applyBorder="1" applyFont="1" applyNumberFormat="1">
      <alignment shrinkToFit="0" vertical="bottom" wrapText="0"/>
    </xf>
    <xf borderId="1" fillId="4" fontId="1" numFmtId="0" xfId="0" applyAlignment="1" applyBorder="1" applyFont="1">
      <alignment horizontal="left" shrinkToFit="0" vertical="bottom" wrapText="0"/>
    </xf>
    <xf borderId="1" fillId="10" fontId="1" numFmtId="0" xfId="0" applyAlignment="1" applyBorder="1" applyFill="1" applyFont="1">
      <alignment shrinkToFit="0" vertical="bottom" wrapText="0"/>
    </xf>
    <xf borderId="1" fillId="4" fontId="1" numFmtId="16" xfId="0" applyAlignment="1" applyBorder="1" applyFont="1" applyNumberFormat="1">
      <alignment horizontal="left" shrinkToFit="0" vertical="bottom" wrapText="0"/>
    </xf>
    <xf borderId="1" fillId="10" fontId="1" numFmtId="167" xfId="0" applyAlignment="1" applyBorder="1" applyFont="1" applyNumberFormat="1">
      <alignment horizontal="center" shrinkToFit="0" vertical="bottom" wrapText="0"/>
    </xf>
    <xf borderId="1" fillId="3" fontId="1" numFmtId="14" xfId="0" applyAlignment="1" applyBorder="1" applyFont="1" applyNumberFormat="1">
      <alignment horizontal="center" shrinkToFit="0" vertical="bottom" wrapText="0"/>
    </xf>
    <xf borderId="1" fillId="10" fontId="1" numFmtId="14" xfId="0" applyAlignment="1" applyBorder="1" applyFont="1" applyNumberFormat="1">
      <alignment shrinkToFit="0" vertical="bottom" wrapText="0"/>
    </xf>
    <xf borderId="1" fillId="3" fontId="1" numFmtId="0" xfId="0" applyAlignment="1" applyBorder="1" applyFont="1">
      <alignment horizontal="center" shrinkToFit="0" vertical="bottom" wrapText="0"/>
    </xf>
    <xf borderId="1" fillId="4" fontId="1" numFmtId="0" xfId="0" applyAlignment="1" applyBorder="1" applyFont="1">
      <alignment horizontal="center" shrinkToFit="0" vertical="bottom" wrapText="0"/>
    </xf>
    <xf borderId="1" fillId="11" fontId="1" numFmtId="0" xfId="0" applyAlignment="1" applyBorder="1" applyFill="1" applyFont="1">
      <alignment shrinkToFit="0" vertical="bottom" wrapText="0"/>
    </xf>
    <xf borderId="1" fillId="6" fontId="1" numFmtId="0" xfId="0" applyAlignment="1" applyBorder="1" applyFont="1">
      <alignment shrinkToFit="0" vertical="bottom" wrapText="0"/>
    </xf>
    <xf borderId="2" fillId="4" fontId="1" numFmtId="14" xfId="0" applyAlignment="1" applyBorder="1" applyFont="1" applyNumberFormat="1">
      <alignment shrinkToFit="0" vertical="bottom" wrapText="0"/>
    </xf>
    <xf borderId="0" fillId="0" fontId="1" numFmtId="14" xfId="0" applyAlignment="1" applyFont="1" applyNumberFormat="1">
      <alignment horizontal="center" shrinkToFit="0" vertical="bottom" wrapText="0"/>
    </xf>
    <xf borderId="2" fillId="0" fontId="1" numFmtId="14" xfId="0" applyAlignment="1" applyBorder="1" applyFont="1" applyNumberFormat="1">
      <alignment shrinkToFit="0" vertical="bottom" wrapText="0"/>
    </xf>
    <xf borderId="3" fillId="7" fontId="4" numFmtId="0" xfId="0" applyAlignment="1" applyBorder="1" applyFont="1">
      <alignment horizontal="center" shrinkToFit="0" vertical="center" wrapText="0"/>
    </xf>
    <xf borderId="4" fillId="0" fontId="6" numFmtId="0" xfId="0" applyBorder="1" applyFont="1"/>
    <xf borderId="0" fillId="0" fontId="1" numFmtId="14" xfId="0" applyAlignment="1" applyFont="1" applyNumberFormat="1">
      <alignment shrinkToFit="0" vertical="bottom" wrapText="0"/>
    </xf>
    <xf borderId="0" fillId="0" fontId="5" numFmtId="14" xfId="0" applyAlignment="1" applyFont="1" applyNumberForma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1" fillId="3" fontId="1" numFmtId="16" xfId="0" applyAlignment="1" applyBorder="1" applyFont="1" applyNumberFormat="1">
      <alignment shrinkToFit="0" vertical="bottom" wrapText="0"/>
    </xf>
    <xf borderId="1" fillId="4" fontId="1" numFmtId="166" xfId="0" applyAlignment="1" applyBorder="1" applyFont="1" applyNumberFormat="1">
      <alignment shrinkToFit="0" vertical="bottom" wrapText="0"/>
    </xf>
    <xf borderId="1" fillId="7" fontId="0" numFmtId="0" xfId="0" applyAlignment="1" applyBorder="1" applyFont="1">
      <alignment horizontal="center" shrinkToFit="0" vertical="bottom" wrapText="1"/>
    </xf>
    <xf borderId="1" fillId="7" fontId="0" numFmtId="168" xfId="0" applyAlignment="1" applyBorder="1" applyFont="1" applyNumberFormat="1">
      <alignment horizontal="center" shrinkToFit="0" vertical="bottom" wrapText="1"/>
    </xf>
    <xf borderId="2" fillId="0" fontId="1" numFmtId="16" xfId="0" applyAlignment="1" applyBorder="1" applyFont="1" applyNumberFormat="1">
      <alignment horizontal="center" shrinkToFit="0" vertical="bottom" wrapText="0"/>
    </xf>
    <xf borderId="1" fillId="7" fontId="1" numFmtId="0" xfId="0" applyAlignment="1" applyBorder="1" applyFont="1">
      <alignment horizontal="center" shrinkToFit="0" vertical="bottom" wrapText="0"/>
    </xf>
    <xf borderId="1" fillId="7" fontId="7" numFmtId="0" xfId="0" applyAlignment="1" applyBorder="1" applyFont="1">
      <alignment horizontal="center" shrinkToFit="0" vertical="center" wrapText="1"/>
    </xf>
    <xf borderId="1" fillId="7" fontId="3" numFmtId="14" xfId="0" applyAlignment="1" applyBorder="1" applyFont="1" applyNumberFormat="1">
      <alignment horizontal="center" shrinkToFit="0" vertical="bottom" wrapText="0"/>
    </xf>
    <xf borderId="1" fillId="7" fontId="3" numFmtId="0" xfId="0" applyAlignment="1" applyBorder="1" applyFont="1">
      <alignment horizontal="center" shrinkToFit="0" vertical="bottom" wrapText="0"/>
    </xf>
    <xf borderId="1" fillId="10" fontId="8" numFmtId="0" xfId="0" applyAlignment="1" applyBorder="1" applyFont="1">
      <alignment horizontal="center" shrinkToFit="0" vertical="bottom" wrapText="1"/>
    </xf>
    <xf borderId="1" fillId="7" fontId="9" numFmtId="0" xfId="0" applyAlignment="1" applyBorder="1" applyFont="1">
      <alignment horizontal="center" shrinkToFit="0" vertical="bottom" wrapText="1"/>
    </xf>
    <xf borderId="1" fillId="7" fontId="8" numFmtId="0" xfId="0" applyAlignment="1" applyBorder="1" applyFont="1">
      <alignment horizontal="center" shrinkToFit="0" vertical="bottom" wrapText="1"/>
    </xf>
    <xf borderId="1" fillId="10" fontId="9" numFmtId="0" xfId="0" applyAlignment="1" applyBorder="1" applyFont="1">
      <alignment horizontal="center" shrinkToFit="0" vertical="bottom" wrapText="1"/>
    </xf>
    <xf borderId="1" fillId="10" fontId="9" numFmtId="168" xfId="0" applyAlignment="1" applyBorder="1" applyFont="1" applyNumberFormat="1">
      <alignment horizontal="center" shrinkToFit="0" vertical="bottom" wrapText="1"/>
    </xf>
    <xf borderId="1" fillId="7" fontId="9" numFmtId="168" xfId="0" applyAlignment="1" applyBorder="1" applyFont="1" applyNumberFormat="1">
      <alignment horizontal="center" shrinkToFit="0" vertical="bottom" wrapText="1"/>
    </xf>
    <xf borderId="2" fillId="7" fontId="3" numFmtId="167" xfId="0" applyAlignment="1" applyBorder="1" applyFont="1" applyNumberFormat="1">
      <alignment horizontal="center" shrinkToFit="0" vertical="center" wrapText="0"/>
    </xf>
    <xf borderId="2" fillId="7" fontId="3" numFmtId="0" xfId="0" applyAlignment="1" applyBorder="1" applyFont="1">
      <alignment horizontal="center" shrinkToFit="0" vertical="center" wrapText="0"/>
    </xf>
    <xf borderId="2" fillId="0" fontId="5" numFmtId="167" xfId="0" applyAlignment="1" applyBorder="1" applyFont="1" applyNumberForma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2" fillId="0" fontId="5" numFmtId="16" xfId="0" applyAlignment="1" applyBorder="1" applyFont="1" applyNumberFormat="1">
      <alignment horizontal="center" shrinkToFit="0" vertical="center" wrapText="0"/>
    </xf>
    <xf borderId="1" fillId="3" fontId="1" numFmtId="166" xfId="0" applyAlignment="1" applyBorder="1" applyFont="1" applyNumberFormat="1">
      <alignment shrinkToFit="0" vertical="bottom" wrapText="0"/>
    </xf>
    <xf borderId="1" fillId="7" fontId="1" numFmtId="14" xfId="0" applyAlignment="1" applyBorder="1" applyFont="1" applyNumberFormat="1">
      <alignment shrinkToFit="0" vertical="bottom" wrapText="0"/>
    </xf>
    <xf borderId="0" fillId="0" fontId="5" numFmtId="167" xfId="0" applyAlignment="1" applyFont="1" applyNumberFormat="1">
      <alignment horizontal="center" shrinkToFit="0" vertical="bottom" wrapText="0"/>
    </xf>
    <xf borderId="1" fillId="3" fontId="3" numFmtId="167" xfId="0" applyAlignment="1" applyBorder="1" applyFont="1" applyNumberFormat="1">
      <alignment horizontal="center" shrinkToFit="0" vertical="center" wrapText="0"/>
    </xf>
    <xf borderId="1" fillId="3" fontId="3" numFmtId="0" xfId="0" applyAlignment="1" applyBorder="1" applyFont="1">
      <alignment horizontal="center" shrinkToFit="0" vertical="center" wrapText="0"/>
    </xf>
    <xf borderId="2" fillId="3" fontId="1" numFmtId="16" xfId="0" applyAlignment="1" applyBorder="1" applyFont="1" applyNumberFormat="1">
      <alignment horizontal="center" shrinkToFit="0" vertical="bottom" wrapText="0"/>
    </xf>
    <xf borderId="1" fillId="3" fontId="1" numFmtId="165" xfId="0" applyAlignment="1" applyBorder="1" applyFont="1" applyNumberFormat="1">
      <alignment horizontal="center" shrinkToFit="0" vertical="bottom" wrapText="0"/>
    </xf>
    <xf borderId="1" fillId="12" fontId="1" numFmtId="0" xfId="0" applyAlignment="1" applyBorder="1" applyFill="1" applyFont="1">
      <alignment shrinkToFit="0" vertical="bottom" wrapText="0"/>
    </xf>
    <xf borderId="1" fillId="12" fontId="1" numFmtId="166" xfId="0" applyAlignment="1" applyBorder="1" applyFont="1" applyNumberFormat="1">
      <alignment shrinkToFit="0" vertical="bottom" wrapText="0"/>
    </xf>
    <xf borderId="1" fillId="10" fontId="1" numFmtId="166" xfId="0" applyAlignment="1" applyBorder="1" applyFont="1" applyNumberFormat="1">
      <alignment shrinkToFit="0" vertical="bottom" wrapText="0"/>
    </xf>
    <xf borderId="5" fillId="0" fontId="6" numFmtId="0" xfId="0" applyBorder="1" applyFont="1"/>
    <xf borderId="2" fillId="7" fontId="5" numFmtId="167" xfId="0" applyAlignment="1" applyBorder="1" applyFont="1" applyNumberFormat="1">
      <alignment horizontal="center" shrinkToFit="0" vertical="bottom" wrapText="0"/>
    </xf>
    <xf borderId="2" fillId="7" fontId="5" numFmtId="0" xfId="0" applyAlignment="1" applyBorder="1" applyFont="1">
      <alignment horizontal="center" shrinkToFit="0" vertical="bottom" wrapText="0"/>
    </xf>
    <xf borderId="1" fillId="3" fontId="3" numFmtId="167" xfId="0" applyAlignment="1" applyBorder="1" applyFont="1" applyNumberFormat="1">
      <alignment horizontal="center" shrinkToFit="0" vertical="bottom" wrapText="0"/>
    </xf>
    <xf borderId="1" fillId="3" fontId="3" numFmtId="0" xfId="0" applyAlignment="1" applyBorder="1" applyFont="1">
      <alignment horizontal="center" shrinkToFit="0" vertical="bottom" wrapText="0"/>
    </xf>
    <xf borderId="2" fillId="3" fontId="5" numFmtId="167" xfId="0" applyAlignment="1" applyBorder="1" applyFont="1" applyNumberFormat="1">
      <alignment horizontal="center" shrinkToFit="0" vertical="bottom" wrapText="0"/>
    </xf>
    <xf borderId="2" fillId="3" fontId="5" numFmtId="0" xfId="0" applyAlignment="1" applyBorder="1" applyFont="1">
      <alignment horizontal="center" shrinkToFit="0" vertical="bottom" wrapText="0"/>
    </xf>
    <xf borderId="2" fillId="10" fontId="1" numFmtId="0" xfId="0" applyAlignment="1" applyBorder="1" applyFont="1">
      <alignment shrinkToFit="0" vertical="bottom" wrapText="0"/>
    </xf>
    <xf borderId="2" fillId="0" fontId="5" numFmtId="167" xfId="0" applyAlignment="1" applyBorder="1" applyFont="1" applyNumberFormat="1">
      <alignment horizontal="center" shrinkToFit="0" vertical="bottom" wrapText="0"/>
    </xf>
    <xf borderId="2" fillId="0" fontId="5" numFmtId="0" xfId="0" applyAlignment="1" applyBorder="1" applyFont="1">
      <alignment horizontal="center" shrinkToFit="0" vertical="bottom" wrapText="0"/>
    </xf>
    <xf borderId="2" fillId="10" fontId="1" numFmtId="14" xfId="0" applyAlignment="1" applyBorder="1" applyFont="1" applyNumberFormat="1">
      <alignment horizontal="center" shrinkToFit="0" vertical="bottom" wrapText="0"/>
    </xf>
    <xf borderId="2" fillId="3" fontId="1" numFmtId="14" xfId="0" applyAlignment="1" applyBorder="1" applyFont="1" applyNumberFormat="1">
      <alignment shrinkToFit="0" vertical="bottom" wrapText="0"/>
    </xf>
    <xf borderId="1" fillId="3" fontId="1" numFmtId="165" xfId="0" applyAlignment="1" applyBorder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3" fontId="10" numFmtId="167" xfId="0" applyAlignment="1" applyBorder="1" applyFont="1" applyNumberFormat="1">
      <alignment horizontal="center" shrinkToFit="0" vertical="center" wrapText="0"/>
    </xf>
    <xf borderId="1" fillId="3" fontId="10" numFmtId="0" xfId="0" applyAlignment="1" applyBorder="1" applyFont="1">
      <alignment horizontal="center" shrinkToFit="0" vertical="center" wrapText="0"/>
    </xf>
    <xf borderId="2" fillId="3" fontId="10" numFmtId="167" xfId="0" applyAlignment="1" applyBorder="1" applyFont="1" applyNumberFormat="1">
      <alignment horizontal="center" shrinkToFit="0" vertical="center" wrapText="0"/>
    </xf>
    <xf borderId="0" fillId="0" fontId="1" numFmtId="16" xfId="0" applyAlignment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1" fillId="13" fontId="2" numFmtId="164" xfId="0" applyAlignment="1" applyBorder="1" applyFill="1" applyFont="1" applyNumberFormat="1">
      <alignment horizontal="center" shrinkToFit="0" vertical="bottom" wrapText="0"/>
    </xf>
    <xf borderId="2" fillId="3" fontId="10" numFmtId="0" xfId="0" applyAlignment="1" applyBorder="1" applyFont="1">
      <alignment horizontal="center" shrinkToFit="0" vertical="center" wrapText="0"/>
    </xf>
    <xf borderId="2" fillId="3" fontId="5" numFmtId="167" xfId="0" applyAlignment="1" applyBorder="1" applyFont="1" applyNumberFormat="1">
      <alignment horizontal="center" shrinkToFit="0" vertical="center" wrapText="0"/>
    </xf>
    <xf borderId="2" fillId="3" fontId="5" numFmtId="0" xfId="0" applyAlignment="1" applyBorder="1" applyFont="1">
      <alignment horizontal="center" shrinkToFit="0" vertical="center" wrapText="0"/>
    </xf>
    <xf borderId="1" fillId="2" fontId="1" numFmtId="165" xfId="0" applyAlignment="1" applyBorder="1" applyFont="1" applyNumberFormat="1">
      <alignment horizontal="center" shrinkToFit="0" vertical="bottom" wrapText="0"/>
    </xf>
    <xf borderId="2" fillId="10" fontId="1" numFmtId="167" xfId="0" applyAlignment="1" applyBorder="1" applyFont="1" applyNumberFormat="1">
      <alignment horizontal="center" shrinkToFit="0" vertical="bottom" wrapText="0"/>
    </xf>
    <xf borderId="2" fillId="10" fontId="1" numFmtId="16" xfId="0" applyAlignment="1" applyBorder="1" applyFont="1" applyNumberFormat="1">
      <alignment shrinkToFit="0" vertical="bottom" wrapText="0"/>
    </xf>
    <xf borderId="2" fillId="10" fontId="5" numFmtId="0" xfId="0" applyAlignment="1" applyBorder="1" applyFont="1">
      <alignment horizontal="center" shrinkToFit="0" vertical="bottom" wrapText="0"/>
    </xf>
    <xf borderId="2" fillId="10" fontId="5" numFmtId="167" xfId="0" applyAlignment="1" applyBorder="1" applyFont="1" applyNumberFormat="1">
      <alignment horizontal="center" shrinkToFit="0" vertical="bottom" wrapText="0"/>
    </xf>
    <xf borderId="2" fillId="10" fontId="5" numFmtId="16" xfId="0" applyAlignment="1" applyBorder="1" applyFont="1" applyNumberFormat="1">
      <alignment horizontal="center" shrinkToFit="0" vertical="bottom" wrapText="0"/>
    </xf>
    <xf borderId="2" fillId="10" fontId="5" numFmtId="165" xfId="0" applyAlignment="1" applyBorder="1" applyFont="1" applyNumberFormat="1">
      <alignment horizontal="center" shrinkToFit="0" vertical="bottom" wrapText="0"/>
    </xf>
    <xf borderId="2" fillId="10" fontId="5" numFmtId="14" xfId="0" applyAlignment="1" applyBorder="1" applyFont="1" applyNumberFormat="1">
      <alignment horizontal="center" shrinkToFit="0" vertical="bottom" wrapText="0"/>
    </xf>
    <xf borderId="1" fillId="10" fontId="5" numFmtId="166" xfId="0" applyAlignment="1" applyBorder="1" applyFont="1" applyNumberFormat="1">
      <alignment horizontal="center" shrinkToFit="0" vertical="bottom" wrapText="0"/>
    </xf>
    <xf borderId="1" fillId="10" fontId="5" numFmtId="0" xfId="0" applyAlignment="1" applyBorder="1" applyFont="1">
      <alignment horizontal="center" shrinkToFit="0" vertical="bottom" wrapText="0"/>
    </xf>
    <xf borderId="2" fillId="3" fontId="1" numFmtId="16" xfId="0" applyAlignment="1" applyBorder="1" applyFont="1" applyNumberFormat="1">
      <alignment shrinkToFit="0" vertical="bottom" wrapText="0"/>
    </xf>
    <xf borderId="2" fillId="4" fontId="5" numFmtId="167" xfId="0" applyAlignment="1" applyBorder="1" applyFont="1" applyNumberFormat="1">
      <alignment horizontal="center" shrinkToFit="0" vertical="bottom" wrapText="0"/>
    </xf>
    <xf borderId="2" fillId="4" fontId="5" numFmtId="0" xfId="0" applyAlignment="1" applyBorder="1" applyFont="1">
      <alignment horizontal="center" shrinkToFit="0" vertical="bottom" wrapText="0"/>
    </xf>
    <xf borderId="2" fillId="3" fontId="10" numFmtId="167" xfId="0" applyAlignment="1" applyBorder="1" applyFont="1" applyNumberFormat="1">
      <alignment horizontal="center" shrinkToFit="0" vertical="bottom" wrapText="0"/>
    </xf>
    <xf borderId="2" fillId="3" fontId="10" numFmtId="0" xfId="0" applyAlignment="1" applyBorder="1" applyFont="1">
      <alignment horizontal="center" shrinkToFit="0" vertical="bottom" wrapText="0"/>
    </xf>
    <xf borderId="2" fillId="0" fontId="10" numFmtId="167" xfId="0" applyAlignment="1" applyBorder="1" applyFont="1" applyNumberFormat="1">
      <alignment horizontal="center" shrinkToFit="0" vertical="bottom" wrapText="0"/>
    </xf>
    <xf borderId="2" fillId="0" fontId="10" numFmtId="0" xfId="0" applyAlignment="1" applyBorder="1" applyFont="1">
      <alignment horizontal="center" shrinkToFit="0" vertical="bottom" wrapText="0"/>
    </xf>
    <xf borderId="2" fillId="10" fontId="1" numFmtId="165" xfId="0" applyAlignment="1" applyBorder="1" applyFont="1" applyNumberFormat="1">
      <alignment horizontal="center" shrinkToFit="0" vertical="bottom" wrapText="0"/>
    </xf>
    <xf borderId="2" fillId="10" fontId="1" numFmtId="16" xfId="0" applyAlignment="1" applyBorder="1" applyFont="1" applyNumberFormat="1">
      <alignment horizontal="center" shrinkToFit="0" vertical="bottom" wrapText="0"/>
    </xf>
    <xf borderId="2" fillId="10" fontId="1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shrinkToFit="0" vertical="center" wrapText="0"/>
    </xf>
    <xf borderId="2" fillId="3" fontId="1" numFmtId="0" xfId="0" applyAlignment="1" applyBorder="1" applyFont="1">
      <alignment horizontal="left" shrinkToFit="0" vertical="bottom" wrapText="0"/>
    </xf>
    <xf borderId="2" fillId="3" fontId="3" numFmtId="14" xfId="0" applyAlignment="1" applyBorder="1" applyFont="1" applyNumberFormat="1">
      <alignment horizontal="center" shrinkToFit="0" vertical="bottom" wrapText="0"/>
    </xf>
    <xf borderId="2" fillId="3" fontId="3" numFmtId="0" xfId="0" applyAlignment="1" applyBorder="1" applyFont="1">
      <alignment horizontal="center" shrinkToFit="0" vertical="bottom" wrapText="0"/>
    </xf>
    <xf borderId="2" fillId="0" fontId="3" numFmtId="14" xfId="0" applyAlignment="1" applyBorder="1" applyFont="1" applyNumberFormat="1">
      <alignment horizontal="center"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2" fillId="6" fontId="1" numFmtId="166" xfId="0" applyAlignment="1" applyBorder="1" applyFont="1" applyNumberFormat="1">
      <alignment horizontal="right" shrinkToFit="0" vertical="bottom" wrapText="0"/>
    </xf>
    <xf borderId="2" fillId="10" fontId="10" numFmtId="167" xfId="0" applyAlignment="1" applyBorder="1" applyFont="1" applyNumberFormat="1">
      <alignment horizontal="center" shrinkToFit="0" vertical="bottom" wrapText="0"/>
    </xf>
    <xf borderId="2" fillId="10" fontId="10" numFmtId="0" xfId="0" applyAlignment="1" applyBorder="1" applyFont="1">
      <alignment horizontal="center" shrinkToFit="0" vertical="bottom" wrapText="0"/>
    </xf>
    <xf borderId="2" fillId="0" fontId="5" numFmtId="14" xfId="0" applyAlignment="1" applyBorder="1" applyFont="1" applyNumberFormat="1">
      <alignment horizontal="center" shrinkToFit="0" vertical="bottom" wrapText="0"/>
    </xf>
    <xf borderId="6" fillId="14" fontId="11" numFmtId="0" xfId="0" applyAlignment="1" applyBorder="1" applyFill="1" applyFont="1">
      <alignment horizontal="center" shrinkToFit="0" vertical="center" wrapText="0"/>
    </xf>
    <xf borderId="7" fillId="0" fontId="6" numFmtId="0" xfId="0" applyBorder="1" applyFont="1"/>
    <xf borderId="8" fillId="0" fontId="6" numFmtId="0" xfId="0" applyBorder="1" applyFont="1"/>
    <xf borderId="9" fillId="3" fontId="11" numFmtId="0" xfId="0" applyAlignment="1" applyBorder="1" applyFont="1">
      <alignment horizontal="center" shrinkToFit="0" vertical="center" wrapText="0"/>
    </xf>
    <xf borderId="10" fillId="0" fontId="6" numFmtId="0" xfId="0" applyBorder="1" applyFont="1"/>
    <xf borderId="1" fillId="10" fontId="1" numFmtId="169" xfId="0" applyAlignment="1" applyBorder="1" applyFont="1" applyNumberFormat="1">
      <alignment shrinkToFit="0" vertical="center" wrapText="0"/>
    </xf>
    <xf borderId="1" fillId="10" fontId="7" numFmtId="0" xfId="0" applyAlignment="1" applyBorder="1" applyFont="1">
      <alignment shrinkToFit="0" vertical="center" wrapText="0"/>
    </xf>
    <xf borderId="0" fillId="0" fontId="7" numFmtId="0" xfId="0" applyAlignment="1" applyFont="1">
      <alignment shrinkToFit="0" vertical="center" wrapText="0"/>
    </xf>
    <xf borderId="2" fillId="15" fontId="12" numFmtId="0" xfId="0" applyAlignment="1" applyBorder="1" applyFill="1" applyFont="1">
      <alignment horizontal="center" shrinkToFit="0" vertical="center" wrapText="0"/>
    </xf>
    <xf borderId="2" fillId="15" fontId="12" numFmtId="166" xfId="0" applyAlignment="1" applyBorder="1" applyFont="1" applyNumberFormat="1">
      <alignment horizontal="center" shrinkToFit="0" vertical="center" wrapText="0"/>
    </xf>
    <xf borderId="1" fillId="15" fontId="7" numFmtId="0" xfId="0" applyAlignment="1" applyBorder="1" applyFont="1">
      <alignment shrinkToFit="0" vertical="center" wrapText="0"/>
    </xf>
    <xf borderId="2" fillId="14" fontId="7" numFmtId="0" xfId="0" applyAlignment="1" applyBorder="1" applyFont="1">
      <alignment horizontal="center" shrinkToFit="0" vertical="center" wrapText="1"/>
    </xf>
    <xf borderId="2" fillId="14" fontId="7" numFmtId="166" xfId="0" applyAlignment="1" applyBorder="1" applyFont="1" applyNumberFormat="1">
      <alignment horizontal="center" shrinkToFit="0" vertical="center" wrapText="1"/>
    </xf>
    <xf borderId="11" fillId="14" fontId="7" numFmtId="0" xfId="0" applyAlignment="1" applyBorder="1" applyFont="1">
      <alignment horizontal="center" shrinkToFit="0" vertical="center" wrapText="1"/>
    </xf>
    <xf borderId="12" fillId="3" fontId="7" numFmtId="166" xfId="0" applyAlignment="1" applyBorder="1" applyFont="1" applyNumberFormat="1">
      <alignment horizontal="center" shrinkToFit="0" vertical="center" wrapText="1"/>
    </xf>
    <xf borderId="2" fillId="3" fontId="7" numFmtId="0" xfId="0" applyAlignment="1" applyBorder="1" applyFont="1">
      <alignment horizontal="center" shrinkToFit="0" vertical="center" wrapText="1"/>
    </xf>
    <xf borderId="2" fillId="3" fontId="7" numFmtId="14" xfId="0" applyAlignment="1" applyBorder="1" applyFont="1" applyNumberFormat="1">
      <alignment horizontal="center" shrinkToFit="0" vertical="center" wrapText="1"/>
    </xf>
    <xf borderId="1" fillId="10" fontId="1" numFmtId="169" xfId="0" applyAlignment="1" applyBorder="1" applyFont="1" applyNumberFormat="1">
      <alignment horizontal="center" shrinkToFit="0" vertical="center" wrapText="1"/>
    </xf>
    <xf borderId="1" fillId="10" fontId="7" numFmtId="0" xfId="0" applyAlignment="1" applyBorder="1" applyFont="1">
      <alignment horizontal="center" shrinkToFit="0" vertical="center" wrapText="1"/>
    </xf>
    <xf borderId="11" fillId="14" fontId="7" numFmtId="0" xfId="0" applyAlignment="1" applyBorder="1" applyFont="1">
      <alignment horizontal="center" shrinkToFit="0" vertical="center" wrapText="0"/>
    </xf>
    <xf borderId="12" fillId="3" fontId="7" numFmtId="166" xfId="0" applyAlignment="1" applyBorder="1" applyFont="1" applyNumberFormat="1">
      <alignment horizontal="center" shrinkToFit="0" vertical="center" wrapText="0"/>
    </xf>
    <xf borderId="2" fillId="3" fontId="7" numFmtId="0" xfId="0" applyAlignment="1" applyBorder="1" applyFont="1">
      <alignment horizontal="center" shrinkToFit="0" vertical="center" wrapText="0"/>
    </xf>
    <xf borderId="2" fillId="3" fontId="7" numFmtId="14" xfId="0" applyAlignment="1" applyBorder="1" applyFont="1" applyNumberFormat="1">
      <alignment horizontal="center" shrinkToFit="0" vertical="center" wrapText="0"/>
    </xf>
    <xf borderId="2" fillId="4" fontId="1" numFmtId="0" xfId="0" applyAlignment="1" applyBorder="1" applyFont="1">
      <alignment horizontal="left" shrinkToFit="0" vertical="bottom" wrapText="0"/>
    </xf>
    <xf borderId="2" fillId="7" fontId="7" numFmtId="14" xfId="0" applyAlignment="1" applyBorder="1" applyFont="1" applyNumberFormat="1">
      <alignment horizontal="center" shrinkToFit="0" vertical="center" wrapText="1"/>
    </xf>
    <xf borderId="2" fillId="7" fontId="7" numFmtId="14" xfId="0" applyAlignment="1" applyBorder="1" applyFont="1" applyNumberFormat="1">
      <alignment horizontal="center" shrinkToFit="0" vertical="center" wrapText="0"/>
    </xf>
    <xf borderId="2" fillId="0" fontId="10" numFmtId="167" xfId="0" applyAlignment="1" applyBorder="1" applyFont="1" applyNumberFormat="1">
      <alignment horizontal="center" shrinkToFit="0" vertical="center" wrapText="0"/>
    </xf>
    <xf borderId="2" fillId="0" fontId="10" numFmtId="0" xfId="0" applyAlignment="1" applyBorder="1" applyFont="1">
      <alignment horizontal="center" shrinkToFit="0" vertical="center" wrapText="0"/>
    </xf>
    <xf borderId="12" fillId="7" fontId="7" numFmtId="166" xfId="0" applyAlignment="1" applyBorder="1" applyFont="1" applyNumberFormat="1">
      <alignment horizontal="center" shrinkToFit="0" vertical="center" wrapText="0"/>
    </xf>
    <xf borderId="2" fillId="3" fontId="7" numFmtId="166" xfId="0" applyAlignment="1" applyBorder="1" applyFont="1" applyNumberFormat="1">
      <alignment horizontal="center" shrinkToFit="0" vertical="center" wrapText="0"/>
    </xf>
    <xf borderId="12" fillId="7" fontId="13" numFmtId="166" xfId="0" applyAlignment="1" applyBorder="1" applyFont="1" applyNumberFormat="1">
      <alignment horizontal="center" shrinkToFit="0" vertical="center" wrapText="1"/>
    </xf>
    <xf borderId="2" fillId="3" fontId="1" numFmtId="164" xfId="0" applyAlignment="1" applyBorder="1" applyFont="1" applyNumberFormat="1">
      <alignment shrinkToFit="0" vertical="bottom" wrapText="0"/>
    </xf>
    <xf borderId="2" fillId="14" fontId="13" numFmtId="0" xfId="0" applyAlignment="1" applyBorder="1" applyFont="1">
      <alignment horizontal="center" shrinkToFit="0" vertical="center" wrapText="1"/>
    </xf>
    <xf borderId="11" fillId="14" fontId="13" numFmtId="0" xfId="0" applyAlignment="1" applyBorder="1" applyFont="1">
      <alignment horizontal="center" shrinkToFit="0" vertical="center" wrapText="1"/>
    </xf>
    <xf borderId="2" fillId="3" fontId="13" numFmtId="0" xfId="0" applyAlignment="1" applyBorder="1" applyFont="1">
      <alignment horizontal="center" shrinkToFit="0" vertical="center" wrapText="1"/>
    </xf>
    <xf borderId="2" fillId="3" fontId="13" numFmtId="14" xfId="0" applyAlignment="1" applyBorder="1" applyFont="1" applyNumberFormat="1">
      <alignment horizontal="center" shrinkToFit="0" vertical="center" wrapText="1"/>
    </xf>
    <xf borderId="1" fillId="10" fontId="13" numFmtId="0" xfId="0" applyAlignment="1" applyBorder="1" applyFont="1">
      <alignment horizontal="center" shrinkToFit="0" vertical="center" wrapText="1"/>
    </xf>
    <xf borderId="2" fillId="14" fontId="7" numFmtId="0" xfId="0" applyAlignment="1" applyBorder="1" applyFont="1">
      <alignment horizontal="center" readingOrder="0" shrinkToFit="0" vertical="center" wrapText="1"/>
    </xf>
    <xf borderId="12" fillId="3" fontId="7" numFmtId="166" xfId="0" applyAlignment="1" applyBorder="1" applyFont="1" applyNumberFormat="1">
      <alignment horizontal="center" readingOrder="0" shrinkToFit="0" vertical="center" wrapText="1"/>
    </xf>
    <xf borderId="2" fillId="16" fontId="7" numFmtId="14" xfId="0" applyAlignment="1" applyBorder="1" applyFill="1" applyFont="1" applyNumberFormat="1">
      <alignment horizontal="center" readingOrder="0" shrinkToFit="0" vertical="center" wrapText="1"/>
    </xf>
    <xf borderId="12" fillId="7" fontId="7" numFmtId="166" xfId="0" applyAlignment="1" applyBorder="1" applyFont="1" applyNumberFormat="1">
      <alignment horizontal="center" shrinkToFit="0" vertical="center" wrapText="1"/>
    </xf>
    <xf borderId="2" fillId="6" fontId="7" numFmtId="14" xfId="0" applyAlignment="1" applyBorder="1" applyFont="1" applyNumberFormat="1">
      <alignment horizontal="center" shrinkToFit="0" vertical="center" wrapText="1"/>
    </xf>
    <xf borderId="2" fillId="17" fontId="1" numFmtId="0" xfId="0" applyAlignment="1" applyBorder="1" applyFill="1" applyFont="1">
      <alignment shrinkToFit="0" vertical="bottom" wrapText="0"/>
    </xf>
    <xf borderId="2" fillId="17" fontId="1" numFmtId="167" xfId="0" applyAlignment="1" applyBorder="1" applyFont="1" applyNumberFormat="1">
      <alignment horizontal="center" shrinkToFit="0" vertical="bottom" wrapText="0"/>
    </xf>
    <xf borderId="2" fillId="17" fontId="1" numFmtId="165" xfId="0" applyAlignment="1" applyBorder="1" applyFont="1" applyNumberFormat="1">
      <alignment horizontal="center" shrinkToFit="0" vertical="bottom" wrapText="0"/>
    </xf>
    <xf borderId="2" fillId="17" fontId="1" numFmtId="14" xfId="0" applyAlignment="1" applyBorder="1" applyFont="1" applyNumberFormat="1">
      <alignment horizontal="center" shrinkToFit="0" vertical="bottom" wrapText="0"/>
    </xf>
    <xf borderId="13" fillId="14" fontId="7" numFmtId="0" xfId="0" applyAlignment="1" applyBorder="1" applyFont="1">
      <alignment horizontal="center" shrinkToFit="0" vertical="center" wrapText="1"/>
    </xf>
    <xf borderId="1" fillId="17" fontId="1" numFmtId="0" xfId="0" applyAlignment="1" applyBorder="1" applyFont="1">
      <alignment shrinkToFit="0" vertical="bottom" wrapText="0"/>
    </xf>
    <xf borderId="14" fillId="14" fontId="7" numFmtId="0" xfId="0" applyAlignment="1" applyBorder="1" applyFont="1">
      <alignment horizontal="center" shrinkToFit="0" vertical="center" wrapText="1"/>
    </xf>
    <xf borderId="2" fillId="17" fontId="3" numFmtId="167" xfId="0" applyAlignment="1" applyBorder="1" applyFont="1" applyNumberFormat="1">
      <alignment horizontal="center" shrinkToFit="0" vertical="center" wrapText="0"/>
    </xf>
    <xf borderId="2" fillId="17" fontId="1" numFmtId="0" xfId="0" applyAlignment="1" applyBorder="1" applyFont="1">
      <alignment horizontal="center" shrinkToFit="0" vertical="bottom" wrapText="0"/>
    </xf>
    <xf borderId="2" fillId="17" fontId="3" numFmtId="0" xfId="0" applyAlignment="1" applyBorder="1" applyFont="1">
      <alignment horizontal="center" shrinkToFit="0" vertical="center" wrapText="0"/>
    </xf>
    <xf borderId="13" fillId="3" fontId="7" numFmtId="0" xfId="0" applyAlignment="1" applyBorder="1" applyFont="1">
      <alignment horizontal="center" shrinkToFit="0" vertical="center" wrapText="1"/>
    </xf>
    <xf borderId="2" fillId="15" fontId="12" numFmtId="0" xfId="0" applyAlignment="1" applyBorder="1" applyFont="1">
      <alignment horizontal="center" shrinkToFit="0" vertical="center" wrapText="1"/>
    </xf>
    <xf borderId="1" fillId="17" fontId="1" numFmtId="166" xfId="0" applyAlignment="1" applyBorder="1" applyFont="1" applyNumberFormat="1">
      <alignment shrinkToFit="0" vertical="bottom" wrapText="0"/>
    </xf>
    <xf borderId="13" fillId="14" fontId="7" numFmtId="166" xfId="0" applyAlignment="1" applyBorder="1" applyFont="1" applyNumberFormat="1">
      <alignment horizontal="center" shrinkToFit="0" vertical="center" wrapText="1"/>
    </xf>
    <xf borderId="15" fillId="7" fontId="7" numFmtId="166" xfId="0" applyAlignment="1" applyBorder="1" applyFont="1" applyNumberFormat="1">
      <alignment horizontal="center" shrinkToFit="0" vertical="center" wrapText="1"/>
    </xf>
    <xf borderId="13" fillId="3" fontId="7" numFmtId="14" xfId="0" applyAlignment="1" applyBorder="1" applyFont="1" applyNumberFormat="1">
      <alignment horizontal="center" shrinkToFit="0" vertical="center" wrapText="1"/>
    </xf>
    <xf borderId="13" fillId="14" fontId="13" numFmtId="0" xfId="0" applyAlignment="1" applyBorder="1" applyFont="1">
      <alignment horizontal="center" shrinkToFit="0" vertical="center" wrapText="1"/>
    </xf>
    <xf borderId="2" fillId="10" fontId="3" numFmtId="167" xfId="0" applyAlignment="1" applyBorder="1" applyFont="1" applyNumberFormat="1">
      <alignment horizontal="center" shrinkToFit="0" vertical="center" wrapText="0"/>
    </xf>
    <xf borderId="13" fillId="14" fontId="13" numFmtId="166" xfId="0" applyAlignment="1" applyBorder="1" applyFont="1" applyNumberFormat="1">
      <alignment horizontal="center" shrinkToFit="0" vertical="center" wrapText="1"/>
    </xf>
    <xf borderId="15" fillId="3" fontId="13" numFmtId="166" xfId="0" applyAlignment="1" applyBorder="1" applyFont="1" applyNumberFormat="1">
      <alignment horizontal="center" shrinkToFit="0" vertical="center" wrapText="1"/>
    </xf>
    <xf borderId="13" fillId="3" fontId="13" numFmtId="0" xfId="0" applyAlignment="1" applyBorder="1" applyFont="1">
      <alignment horizontal="center" shrinkToFit="0" vertical="center" wrapText="1"/>
    </xf>
    <xf borderId="13" fillId="3" fontId="13" numFmtId="14" xfId="0" applyAlignment="1" applyBorder="1" applyFont="1" applyNumberFormat="1">
      <alignment horizontal="center" shrinkToFit="0" vertical="center" wrapText="1"/>
    </xf>
    <xf borderId="1" fillId="10" fontId="1" numFmtId="169" xfId="0" applyAlignment="1" applyBorder="1" applyFont="1" applyNumberFormat="1">
      <alignment shrinkToFit="0" vertical="center" wrapText="1"/>
    </xf>
    <xf borderId="1" fillId="10" fontId="13" numFmtId="0" xfId="0" applyAlignment="1" applyBorder="1" applyFont="1">
      <alignment shrinkToFit="0" vertical="center" wrapText="1"/>
    </xf>
    <xf borderId="2" fillId="14" fontId="7" numFmtId="166" xfId="0" applyAlignment="1" applyBorder="1" applyFont="1" applyNumberFormat="1">
      <alignment horizontal="center" shrinkToFit="0" vertical="center" wrapText="0"/>
    </xf>
    <xf borderId="2" fillId="6" fontId="7" numFmtId="14" xfId="0" applyAlignment="1" applyBorder="1" applyFont="1" applyNumberFormat="1">
      <alignment horizontal="center" shrinkToFit="0" vertical="center" wrapText="0"/>
    </xf>
    <xf borderId="16" fillId="14" fontId="7" numFmtId="0" xfId="0" applyAlignment="1" applyBorder="1" applyFont="1">
      <alignment horizontal="center" shrinkToFit="0" vertical="center" wrapText="0"/>
    </xf>
    <xf borderId="2" fillId="0" fontId="1" numFmtId="165" xfId="0" applyAlignment="1" applyBorder="1" applyFont="1" applyNumberFormat="1">
      <alignment horizontal="center" shrinkToFit="0" vertical="bottom" wrapText="0"/>
    </xf>
    <xf borderId="2" fillId="14" fontId="7" numFmtId="0" xfId="0" applyAlignment="1" applyBorder="1" applyFont="1">
      <alignment horizontal="center" shrinkToFit="0" vertical="center" wrapText="0"/>
    </xf>
    <xf borderId="13" fillId="14" fontId="7" numFmtId="166" xfId="0" applyAlignment="1" applyBorder="1" applyFont="1" applyNumberFormat="1">
      <alignment horizontal="center" shrinkToFit="0" vertical="center" wrapText="0"/>
    </xf>
    <xf borderId="13" fillId="14" fontId="7" numFmtId="0" xfId="0" applyAlignment="1" applyBorder="1" applyFont="1">
      <alignment horizontal="center" shrinkToFit="0" vertical="center" wrapText="0"/>
    </xf>
    <xf borderId="14" fillId="14" fontId="7" numFmtId="0" xfId="0" applyAlignment="1" applyBorder="1" applyFont="1">
      <alignment horizontal="center" shrinkToFit="0" vertical="center" wrapText="0"/>
    </xf>
    <xf borderId="15" fillId="3" fontId="7" numFmtId="166" xfId="0" applyAlignment="1" applyBorder="1" applyFont="1" applyNumberFormat="1">
      <alignment horizontal="center" shrinkToFit="0" vertical="center" wrapText="0"/>
    </xf>
    <xf borderId="13" fillId="3" fontId="7" numFmtId="0" xfId="0" applyAlignment="1" applyBorder="1" applyFont="1">
      <alignment horizontal="center" shrinkToFit="0" vertical="center" wrapText="0"/>
    </xf>
    <xf borderId="13" fillId="7" fontId="7" numFmtId="14" xfId="0" applyAlignment="1" applyBorder="1" applyFont="1" applyNumberFormat="1">
      <alignment horizontal="center" shrinkToFit="0" vertical="center" wrapText="0"/>
    </xf>
    <xf borderId="13" fillId="3" fontId="7" numFmtId="14" xfId="0" applyAlignment="1" applyBorder="1" applyFont="1" applyNumberFormat="1">
      <alignment horizontal="center" shrinkToFit="0" vertical="center" wrapText="0"/>
    </xf>
    <xf borderId="15" fillId="3" fontId="7" numFmtId="166" xfId="0" applyAlignment="1" applyBorder="1" applyFont="1" applyNumberFormat="1">
      <alignment horizontal="center" shrinkToFit="0" vertical="center" wrapText="1"/>
    </xf>
    <xf borderId="13" fillId="6" fontId="7" numFmtId="14" xfId="0" applyAlignment="1" applyBorder="1" applyFont="1" applyNumberFormat="1">
      <alignment horizontal="center" shrinkToFit="0" vertical="center" wrapText="1"/>
    </xf>
    <xf borderId="13" fillId="6" fontId="7" numFmtId="14" xfId="0" applyAlignment="1" applyBorder="1" applyFont="1" applyNumberFormat="1">
      <alignment horizontal="center" shrinkToFit="0" vertical="center" wrapText="0"/>
    </xf>
    <xf borderId="2" fillId="0" fontId="7" numFmtId="0" xfId="0" applyAlignment="1" applyBorder="1" applyFont="1">
      <alignment horizontal="center" shrinkToFit="0" vertical="center" wrapText="0"/>
    </xf>
    <xf borderId="2" fillId="0" fontId="11" numFmtId="166" xfId="0" applyAlignment="1" applyBorder="1" applyFont="1" applyNumberFormat="1">
      <alignment horizontal="center" shrinkToFit="0" vertical="center" wrapText="0"/>
    </xf>
    <xf borderId="11" fillId="0" fontId="7" numFmtId="0" xfId="0" applyAlignment="1" applyBorder="1" applyFont="1">
      <alignment horizontal="center" shrinkToFit="0" vertical="center" wrapText="0"/>
    </xf>
    <xf borderId="17" fillId="0" fontId="11" numFmtId="166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166" xfId="0" applyAlignment="1" applyFont="1" applyNumberFormat="1">
      <alignment horizontal="center" shrinkToFit="0" vertical="center" wrapText="0"/>
    </xf>
    <xf borderId="2" fillId="10" fontId="3" numFmtId="0" xfId="0" applyAlignment="1" applyBorder="1" applyFont="1">
      <alignment horizontal="center" shrinkToFit="0" vertical="center" wrapText="0"/>
    </xf>
    <xf borderId="2" fillId="10" fontId="10" numFmtId="167" xfId="0" applyAlignment="1" applyBorder="1" applyFont="1" applyNumberFormat="1">
      <alignment horizontal="center" shrinkToFit="0" vertical="center" wrapText="0"/>
    </xf>
    <xf borderId="2" fillId="10" fontId="10" numFmtId="0" xfId="0" applyAlignment="1" applyBorder="1" applyFont="1">
      <alignment horizontal="center" shrinkToFit="0" vertical="center" wrapText="0"/>
    </xf>
    <xf borderId="2" fillId="3" fontId="10" numFmtId="16" xfId="0" applyAlignment="1" applyBorder="1" applyFont="1" applyNumberFormat="1">
      <alignment shrinkToFit="0" vertical="bottom" wrapText="0"/>
    </xf>
    <xf borderId="2" fillId="3" fontId="10" numFmtId="0" xfId="0" applyAlignment="1" applyBorder="1" applyFont="1">
      <alignment shrinkToFit="0" vertical="bottom" wrapText="0"/>
    </xf>
    <xf borderId="2" fillId="3" fontId="10" numFmtId="165" xfId="0" applyAlignment="1" applyBorder="1" applyFont="1" applyNumberFormat="1">
      <alignment horizontal="center" shrinkToFit="0" vertical="bottom" wrapText="0"/>
    </xf>
    <xf borderId="2" fillId="3" fontId="1" numFmtId="17" xfId="0" applyAlignment="1" applyBorder="1" applyFont="1" applyNumberFormat="1">
      <alignment shrinkToFit="0" vertical="bottom" wrapText="0"/>
    </xf>
    <xf borderId="2" fillId="10" fontId="5" numFmtId="16" xfId="0" applyAlignment="1" applyBorder="1" applyFont="1" applyNumberFormat="1">
      <alignment shrinkToFit="0" vertical="bottom" wrapText="0"/>
    </xf>
    <xf borderId="2" fillId="10" fontId="5" numFmtId="0" xfId="0" applyAlignment="1" applyBorder="1" applyFont="1">
      <alignment shrinkToFit="0" vertical="bottom" wrapText="0"/>
    </xf>
    <xf borderId="2" fillId="3" fontId="1" numFmtId="0" xfId="0" applyAlignment="1" applyBorder="1" applyFont="1">
      <alignment horizontal="right" shrinkToFit="0" vertical="bottom" wrapText="0"/>
    </xf>
    <xf borderId="1" fillId="3" fontId="5" numFmtId="167" xfId="0" applyAlignment="1" applyBorder="1" applyFont="1" applyNumberFormat="1">
      <alignment horizontal="center" shrinkToFit="0" vertical="bottom" wrapText="0"/>
    </xf>
    <xf borderId="1" fillId="7" fontId="5" numFmtId="0" xfId="0" applyAlignment="1" applyBorder="1" applyFont="1">
      <alignment horizontal="center" shrinkToFit="0" vertical="bottom" wrapText="0"/>
    </xf>
    <xf borderId="0" fillId="0" fontId="3" numFmtId="167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3" fontId="1" numFmtId="16" xfId="0" applyAlignment="1" applyBorder="1" applyFont="1" applyNumberFormat="1">
      <alignment horizontal="center" shrinkToFit="0" vertical="bottom" wrapText="0"/>
    </xf>
    <xf borderId="2" fillId="3" fontId="14" numFmtId="14" xfId="0" applyAlignment="1" applyBorder="1" applyFont="1" applyNumberFormat="1">
      <alignment horizontal="center" shrinkToFit="0" vertical="center" wrapText="0"/>
    </xf>
    <xf borderId="2" fillId="3" fontId="14" numFmtId="0" xfId="0" applyAlignment="1" applyBorder="1" applyFont="1">
      <alignment horizontal="center" shrinkToFit="0" vertical="center" wrapText="0"/>
    </xf>
    <xf borderId="1" fillId="4" fontId="1" numFmtId="16" xfId="0" applyAlignment="1" applyBorder="1" applyFont="1" applyNumberFormat="1">
      <alignment horizontal="center" shrinkToFit="0" vertical="bottom" wrapText="0"/>
    </xf>
    <xf borderId="2" fillId="10" fontId="10" numFmtId="0" xfId="0" applyAlignment="1" applyBorder="1" applyFont="1">
      <alignment shrinkToFit="0" vertical="bottom" wrapText="0"/>
    </xf>
    <xf borderId="2" fillId="0" fontId="14" numFmtId="0" xfId="0" applyAlignment="1" applyBorder="1" applyFont="1">
      <alignment horizontal="center" shrinkToFit="0" vertical="center" wrapText="0"/>
    </xf>
    <xf borderId="2" fillId="10" fontId="10" numFmtId="16" xfId="0" applyAlignment="1" applyBorder="1" applyFont="1" applyNumberFormat="1">
      <alignment shrinkToFit="0" vertical="bottom" wrapText="0"/>
    </xf>
    <xf borderId="2" fillId="6" fontId="0" numFmtId="165" xfId="0" applyAlignment="1" applyBorder="1" applyFont="1" applyNumberFormat="1">
      <alignment horizontal="center" shrinkToFit="0" vertical="center" wrapText="0"/>
    </xf>
    <xf borderId="2" fillId="6" fontId="10" numFmtId="165" xfId="0" applyAlignment="1" applyBorder="1" applyFont="1" applyNumberFormat="1">
      <alignment horizontal="center" shrinkToFit="0" vertical="bottom" wrapText="0"/>
    </xf>
    <xf borderId="2" fillId="10" fontId="14" numFmtId="0" xfId="0" applyAlignment="1" applyBorder="1" applyFont="1">
      <alignment horizontal="center" shrinkToFit="0" vertical="center" wrapText="0"/>
    </xf>
    <xf borderId="2" fillId="0" fontId="14" numFmtId="14" xfId="0" applyAlignment="1" applyBorder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10" fontId="14" numFmtId="0" xfId="0" applyAlignment="1" applyBorder="1" applyFont="1">
      <alignment horizontal="center" shrinkToFit="0" vertical="center" wrapText="0"/>
    </xf>
    <xf borderId="0" fillId="0" fontId="14" numFmtId="14" xfId="0" applyAlignment="1" applyFont="1" applyNumberFormat="1">
      <alignment horizontal="center" shrinkToFit="0" vertical="center" wrapText="0"/>
    </xf>
    <xf borderId="2" fillId="10" fontId="10" numFmtId="14" xfId="0" applyAlignment="1" applyBorder="1" applyFont="1" applyNumberFormat="1">
      <alignment horizontal="center" shrinkToFit="0" vertical="bottom" wrapText="0"/>
    </xf>
    <xf borderId="1" fillId="10" fontId="10" numFmtId="166" xfId="0" applyAlignment="1" applyBorder="1" applyFont="1" applyNumberFormat="1">
      <alignment shrinkToFit="0" vertical="bottom" wrapText="0"/>
    </xf>
    <xf borderId="1" fillId="10" fontId="10" numFmtId="0" xfId="0" applyAlignment="1" applyBorder="1" applyFont="1">
      <alignment shrinkToFit="0" vertical="bottom" wrapText="0"/>
    </xf>
    <xf borderId="2" fillId="7" fontId="14" numFmtId="14" xfId="0" applyAlignment="1" applyBorder="1" applyFont="1" applyNumberFormat="1">
      <alignment horizontal="center" shrinkToFit="0" vertical="center" wrapText="0"/>
    </xf>
    <xf borderId="2" fillId="7" fontId="14" numFmtId="0" xfId="0" applyAlignment="1" applyBorder="1" applyFont="1">
      <alignment horizontal="center" shrinkToFit="0" vertical="center" wrapText="0"/>
    </xf>
    <xf borderId="1" fillId="3" fontId="14" numFmtId="14" xfId="0" applyAlignment="1" applyBorder="1" applyFont="1" applyNumberFormat="1">
      <alignment horizontal="center" shrinkToFit="0" vertical="center" wrapText="0"/>
    </xf>
    <xf borderId="2" fillId="4" fontId="1" numFmtId="16" xfId="0" applyAlignment="1" applyBorder="1" applyFont="1" applyNumberFormat="1">
      <alignment horizontal="center" shrinkToFit="0" vertical="bottom" wrapText="0"/>
    </xf>
    <xf borderId="2" fillId="10" fontId="14" numFmtId="14" xfId="0" applyAlignment="1" applyBorder="1" applyFont="1" applyNumberFormat="1">
      <alignment horizontal="center" shrinkToFit="0" vertical="center" wrapText="0"/>
    </xf>
    <xf borderId="2" fillId="3" fontId="5" numFmtId="16" xfId="0" applyAlignment="1" applyBorder="1" applyFont="1" applyNumberFormat="1">
      <alignment horizontal="center" shrinkToFit="0" vertical="bottom" wrapText="0"/>
    </xf>
    <xf borderId="2" fillId="3" fontId="5" numFmtId="0" xfId="0" applyAlignment="1" applyBorder="1" applyFont="1">
      <alignment shrinkToFit="0" vertical="bottom" wrapText="0"/>
    </xf>
    <xf borderId="2" fillId="4" fontId="1" numFmtId="16" xfId="0" applyAlignment="1" applyBorder="1" applyFont="1" applyNumberForma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18" fillId="0" fontId="3" numFmtId="167" xfId="0" applyAlignment="1" applyBorder="1" applyFont="1" applyNumberFormat="1">
      <alignment horizontal="center" shrinkToFit="0" vertical="center" wrapText="0"/>
    </xf>
    <xf borderId="18" fillId="0" fontId="3" numFmtId="0" xfId="0" applyAlignment="1" applyBorder="1" applyFont="1">
      <alignment horizontal="center" shrinkToFit="0" vertical="center" wrapText="0"/>
    </xf>
    <xf borderId="13" fillId="6" fontId="1" numFmtId="165" xfId="0" applyAlignment="1" applyBorder="1" applyFont="1" applyNumberFormat="1">
      <alignment horizontal="center" shrinkToFit="0" vertical="bottom" wrapText="0"/>
    </xf>
    <xf borderId="18" fillId="0" fontId="1" numFmtId="14" xfId="0" applyAlignment="1" applyBorder="1" applyFont="1" applyNumberFormat="1">
      <alignment horizontal="center" shrinkToFit="0" vertical="bottom" wrapText="0"/>
    </xf>
    <xf borderId="19" fillId="0" fontId="1" numFmtId="0" xfId="0" applyAlignment="1" applyBorder="1" applyFont="1">
      <alignment shrinkToFit="0" vertical="bottom" wrapText="0"/>
    </xf>
    <xf borderId="19" fillId="0" fontId="3" numFmtId="167" xfId="0" applyAlignment="1" applyBorder="1" applyFont="1" applyNumberFormat="1">
      <alignment horizontal="center" shrinkToFit="0" vertical="center" wrapText="0"/>
    </xf>
    <xf borderId="19" fillId="0" fontId="3" numFmtId="0" xfId="0" applyAlignment="1" applyBorder="1" applyFont="1">
      <alignment horizontal="center" shrinkToFit="0" vertical="center" wrapText="0"/>
    </xf>
    <xf borderId="20" fillId="6" fontId="1" numFmtId="165" xfId="0" applyAlignment="1" applyBorder="1" applyFont="1" applyNumberFormat="1">
      <alignment horizontal="center" shrinkToFit="0" vertical="bottom" wrapText="0"/>
    </xf>
    <xf borderId="19" fillId="0" fontId="1" numFmtId="14" xfId="0" applyAlignment="1" applyBorder="1" applyFont="1" applyNumberFormat="1">
      <alignment horizontal="center" shrinkToFit="0" vertical="bottom" wrapText="0"/>
    </xf>
    <xf borderId="21" fillId="3" fontId="1" numFmtId="0" xfId="0" applyAlignment="1" applyBorder="1" applyFont="1">
      <alignment shrinkToFit="0" vertical="bottom" wrapText="0"/>
    </xf>
    <xf borderId="21" fillId="3" fontId="1" numFmtId="167" xfId="0" applyAlignment="1" applyBorder="1" applyFont="1" applyNumberFormat="1">
      <alignment horizontal="center" shrinkToFit="0" vertical="bottom" wrapText="0"/>
    </xf>
    <xf borderId="21" fillId="3" fontId="1" numFmtId="165" xfId="0" applyAlignment="1" applyBorder="1" applyFont="1" applyNumberFormat="1">
      <alignment horizontal="center" shrinkToFit="0" vertical="bottom" wrapText="0"/>
    </xf>
    <xf borderId="21" fillId="3" fontId="1" numFmtId="14" xfId="0" applyAlignment="1" applyBorder="1" applyFont="1" applyNumberFormat="1">
      <alignment horizontal="center" shrinkToFit="0" vertical="bottom" wrapText="0"/>
    </xf>
    <xf borderId="13" fillId="3" fontId="1" numFmtId="0" xfId="0" applyAlignment="1" applyBorder="1" applyFont="1">
      <alignment shrinkToFit="0" vertical="bottom" wrapText="0"/>
    </xf>
    <xf borderId="13" fillId="3" fontId="1" numFmtId="167" xfId="0" applyAlignment="1" applyBorder="1" applyFont="1" applyNumberFormat="1">
      <alignment horizontal="center" shrinkToFit="0" vertical="bottom" wrapText="0"/>
    </xf>
    <xf borderId="13" fillId="3" fontId="1" numFmtId="165" xfId="0" applyAlignment="1" applyBorder="1" applyFont="1" applyNumberFormat="1">
      <alignment horizontal="center" shrinkToFit="0" vertical="bottom" wrapText="0"/>
    </xf>
    <xf borderId="13" fillId="3" fontId="1" numFmtId="14" xfId="0" applyAlignment="1" applyBorder="1" applyFont="1" applyNumberFormat="1">
      <alignment horizontal="center" shrinkToFit="0" vertical="bottom" wrapText="0"/>
    </xf>
    <xf borderId="2" fillId="3" fontId="1" numFmtId="166" xfId="0" applyAlignment="1" applyBorder="1" applyFont="1" applyNumberFormat="1">
      <alignment shrinkToFit="0" vertical="bottom" wrapText="0"/>
    </xf>
    <xf borderId="2" fillId="4" fontId="10" numFmtId="14" xfId="0" applyAlignment="1" applyBorder="1" applyFont="1" applyNumberFormat="1">
      <alignment horizontal="center" shrinkToFit="0" vertical="bottom" wrapText="0"/>
    </xf>
    <xf borderId="1" fillId="4" fontId="10" numFmtId="16" xfId="0" applyAlignment="1" applyBorder="1" applyFont="1" applyNumberFormat="1">
      <alignment horizontal="center" shrinkToFit="0" vertical="bottom" wrapText="0"/>
    </xf>
    <xf borderId="2" fillId="4" fontId="10" numFmtId="0" xfId="0" applyAlignment="1" applyBorder="1" applyFont="1">
      <alignment horizontal="center" shrinkToFit="0" vertical="bottom" wrapText="0"/>
    </xf>
    <xf borderId="0" fillId="0" fontId="2" numFmtId="14" xfId="0" applyAlignment="1" applyFont="1" applyNumberFormat="1">
      <alignment horizontal="center" shrinkToFit="0" vertical="bottom" wrapText="0"/>
    </xf>
    <xf borderId="2" fillId="0" fontId="1" numFmtId="166" xfId="0" applyAlignment="1" applyBorder="1" applyFont="1" applyNumberFormat="1">
      <alignment shrinkToFit="0" vertical="bottom" wrapText="0"/>
    </xf>
    <xf borderId="2" fillId="4" fontId="3" numFmtId="0" xfId="0" applyAlignment="1" applyBorder="1" applyFont="1">
      <alignment horizontal="center" shrinkToFit="0" vertical="center" wrapText="0"/>
    </xf>
    <xf borderId="2" fillId="12" fontId="1" numFmtId="0" xfId="0" applyAlignment="1" applyBorder="1" applyFont="1">
      <alignment shrinkToFit="0" vertical="bottom" wrapText="0"/>
    </xf>
    <xf borderId="2" fillId="12" fontId="3" numFmtId="167" xfId="0" applyAlignment="1" applyBorder="1" applyFont="1" applyNumberFormat="1">
      <alignment horizontal="center" shrinkToFit="0" vertical="center" wrapText="0"/>
    </xf>
    <xf borderId="2" fillId="12" fontId="3" numFmtId="0" xfId="0" applyAlignment="1" applyBorder="1" applyFont="1">
      <alignment horizontal="center" shrinkToFit="0" vertical="center" wrapText="0"/>
    </xf>
    <xf borderId="2" fillId="12" fontId="1" numFmtId="14" xfId="0" applyAlignment="1" applyBorder="1" applyFont="1" applyNumberFormat="1">
      <alignment horizontal="center" shrinkToFit="0" vertical="bottom" wrapText="0"/>
    </xf>
    <xf borderId="1" fillId="10" fontId="1" numFmtId="166" xfId="0" applyAlignment="1" applyBorder="1" applyFont="1" applyNumberFormat="1">
      <alignment horizontal="center" shrinkToFit="0" vertical="bottom" wrapText="0"/>
    </xf>
    <xf borderId="1" fillId="10" fontId="1" numFmtId="0" xfId="0" applyAlignment="1" applyBorder="1" applyFont="1">
      <alignment horizontal="center" shrinkToFit="0" vertical="bottom" wrapText="0"/>
    </xf>
    <xf borderId="1" fillId="10" fontId="5" numFmtId="166" xfId="0" applyAlignment="1" applyBorder="1" applyFont="1" applyNumberFormat="1">
      <alignment shrinkToFit="0" vertical="bottom" wrapText="0"/>
    </xf>
    <xf borderId="1" fillId="10" fontId="5" numFmtId="0" xfId="0" applyAlignment="1" applyBorder="1" applyFont="1">
      <alignment shrinkToFit="0" vertical="bottom" wrapText="0"/>
    </xf>
    <xf borderId="1" fillId="10" fontId="8" numFmtId="0" xfId="0" applyAlignment="1" applyBorder="1" applyFont="1">
      <alignment shrinkToFit="0" vertical="bottom" wrapText="0"/>
    </xf>
    <xf borderId="1" fillId="10" fontId="8" numFmtId="166" xfId="0" applyAlignment="1" applyBorder="1" applyFont="1" applyNumberFormat="1">
      <alignment shrinkToFit="0" vertical="bottom" wrapText="0"/>
    </xf>
    <xf borderId="2" fillId="10" fontId="15" numFmtId="49" xfId="0" applyAlignment="1" applyBorder="1" applyFont="1" applyNumberFormat="1">
      <alignment horizontal="center" shrinkToFit="0" vertical="center" wrapText="1"/>
    </xf>
    <xf borderId="2" fillId="10" fontId="15" numFmtId="0" xfId="0" applyAlignment="1" applyBorder="1" applyFont="1">
      <alignment horizontal="center" shrinkToFit="0" vertical="center" wrapText="1"/>
    </xf>
    <xf borderId="2" fillId="3" fontId="1" numFmtId="166" xfId="0" applyAlignment="1" applyBorder="1" applyFont="1" applyNumberFormat="1">
      <alignment horizontal="right" shrinkToFit="0" vertical="bottom" wrapText="0"/>
    </xf>
    <xf borderId="2" fillId="10" fontId="15" numFmtId="166" xfId="0" applyAlignment="1" applyBorder="1" applyFont="1" applyNumberFormat="1">
      <alignment horizontal="center" shrinkToFit="0" vertical="center" wrapText="1"/>
    </xf>
    <xf borderId="1" fillId="3" fontId="1" numFmtId="166" xfId="0" applyAlignment="1" applyBorder="1" applyFont="1" applyNumberFormat="1">
      <alignment horizontal="right" shrinkToFit="0" vertical="bottom" wrapText="0"/>
    </xf>
    <xf borderId="1" fillId="10" fontId="15" numFmtId="0" xfId="0" applyAlignment="1" applyBorder="1" applyFont="1">
      <alignment horizontal="center" shrinkToFit="0" vertical="center" wrapText="1"/>
    </xf>
    <xf borderId="1" fillId="10" fontId="8" numFmtId="0" xfId="0" applyAlignment="1" applyBorder="1" applyFont="1">
      <alignment horizontal="center" shrinkToFit="0" vertical="bottom" wrapText="0"/>
    </xf>
    <xf borderId="2" fillId="4" fontId="1" numFmtId="166" xfId="0" applyAlignment="1" applyBorder="1" applyFont="1" applyNumberFormat="1">
      <alignment horizontal="right" shrinkToFit="0" vertical="bottom" wrapText="0"/>
    </xf>
    <xf borderId="1" fillId="10" fontId="16" numFmtId="166" xfId="0" applyAlignment="1" applyBorder="1" applyFont="1" applyNumberFormat="1">
      <alignment shrinkToFit="0" vertical="bottom" wrapText="0"/>
    </xf>
    <xf borderId="1" fillId="10" fontId="17" numFmtId="0" xfId="0" applyAlignment="1" applyBorder="1" applyFont="1">
      <alignment horizontal="center" shrinkToFit="0" vertical="center" wrapText="1"/>
    </xf>
    <xf borderId="22" fillId="7" fontId="18" numFmtId="0" xfId="0" applyAlignment="1" applyBorder="1" applyFont="1">
      <alignment horizontal="center" shrinkToFit="0" vertical="center" wrapText="0"/>
    </xf>
    <xf borderId="23" fillId="0" fontId="6" numFmtId="0" xfId="0" applyBorder="1" applyFont="1"/>
    <xf borderId="1" fillId="3" fontId="4" numFmtId="0" xfId="0" applyAlignment="1" applyBorder="1" applyFont="1">
      <alignment horizontal="center" shrinkToFit="0" vertical="center" wrapText="0"/>
    </xf>
    <xf borderId="24" fillId="0" fontId="6" numFmtId="0" xfId="0" applyBorder="1" applyFont="1"/>
    <xf borderId="2" fillId="10" fontId="7" numFmtId="49" xfId="0" applyAlignment="1" applyBorder="1" applyFont="1" applyNumberFormat="1">
      <alignment horizontal="center" shrinkToFit="0" vertical="center" wrapText="1"/>
    </xf>
    <xf borderId="2" fillId="10" fontId="7" numFmtId="0" xfId="0" applyAlignment="1" applyBorder="1" applyFont="1">
      <alignment horizontal="center" shrinkToFit="0" vertical="center" wrapText="1"/>
    </xf>
    <xf borderId="2" fillId="10" fontId="7" numFmtId="166" xfId="0" applyAlignment="1" applyBorder="1" applyFont="1" applyNumberFormat="1">
      <alignment horizontal="center" shrinkToFit="0" vertical="center" wrapText="1"/>
    </xf>
    <xf borderId="1" fillId="10" fontId="7" numFmtId="49" xfId="0" applyAlignment="1" applyBorder="1" applyFont="1" applyNumberFormat="1">
      <alignment horizontal="center" shrinkToFit="0" vertical="center" wrapText="1"/>
    </xf>
    <xf borderId="1" fillId="10" fontId="7" numFmtId="166" xfId="0" applyAlignment="1" applyBorder="1" applyFont="1" applyNumberFormat="1">
      <alignment horizontal="center" shrinkToFit="0" vertical="center" wrapText="1"/>
    </xf>
    <xf borderId="1" fillId="12" fontId="3" numFmtId="167" xfId="0" applyAlignment="1" applyBorder="1" applyFont="1" applyNumberFormat="1">
      <alignment horizontal="center" shrinkToFit="0" vertical="center" wrapText="0"/>
    </xf>
    <xf borderId="1" fillId="10" fontId="7" numFmtId="0" xfId="0" applyAlignment="1" applyBorder="1" applyFont="1">
      <alignment shrinkToFit="0" vertical="bottom" wrapText="0"/>
    </xf>
    <xf borderId="2" fillId="4" fontId="10" numFmtId="167" xfId="0" applyAlignment="1" applyBorder="1" applyFont="1" applyNumberFormat="1">
      <alignment horizontal="center" shrinkToFit="0" vertical="bottom" wrapText="0"/>
    </xf>
    <xf borderId="2" fillId="4" fontId="10" numFmtId="16" xfId="0" applyAlignment="1" applyBorder="1" applyFont="1" applyNumberFormat="1">
      <alignment shrinkToFit="0" vertical="bottom" wrapText="0"/>
    </xf>
    <xf borderId="2" fillId="4" fontId="10" numFmtId="0" xfId="0" applyAlignment="1" applyBorder="1" applyFont="1">
      <alignment shrinkToFit="0" vertical="bottom" wrapText="0"/>
    </xf>
    <xf borderId="2" fillId="10" fontId="17" numFmtId="49" xfId="0" applyAlignment="1" applyBorder="1" applyFont="1" applyNumberFormat="1">
      <alignment horizontal="center" shrinkToFit="0" vertical="center" wrapText="1"/>
    </xf>
    <xf borderId="25" fillId="0" fontId="6" numFmtId="0" xfId="0" applyBorder="1" applyFont="1"/>
    <xf borderId="2" fillId="10" fontId="17" numFmtId="0" xfId="0" applyAlignment="1" applyBorder="1" applyFont="1">
      <alignment horizontal="center" shrinkToFit="0" vertical="center" wrapText="1"/>
    </xf>
    <xf borderId="26" fillId="0" fontId="6" numFmtId="0" xfId="0" applyBorder="1" applyFont="1"/>
    <xf borderId="2" fillId="10" fontId="17" numFmtId="166" xfId="0" applyAlignment="1" applyBorder="1" applyFont="1" applyNumberFormat="1">
      <alignment horizontal="center" shrinkToFit="0" vertical="center" wrapText="1"/>
    </xf>
    <xf borderId="27" fillId="0" fontId="6" numFmtId="0" xfId="0" applyBorder="1" applyFont="1"/>
    <xf borderId="1" fillId="10" fontId="15" numFmtId="166" xfId="0" applyAlignment="1" applyBorder="1" applyFont="1" applyNumberFormat="1">
      <alignment horizontal="center" shrinkToFit="0" vertical="center" wrapText="1"/>
    </xf>
    <xf borderId="1" fillId="10" fontId="4" numFmtId="0" xfId="0" applyAlignment="1" applyBorder="1" applyFont="1">
      <alignment horizontal="center" shrinkToFit="0" vertical="center" wrapText="0"/>
    </xf>
    <xf borderId="1" fillId="10" fontId="8" numFmtId="49" xfId="0" applyAlignment="1" applyBorder="1" applyFont="1" applyNumberFormat="1">
      <alignment horizontal="center" shrinkToFit="0" vertical="bottom" wrapText="0"/>
    </xf>
    <xf borderId="2" fillId="10" fontId="15" numFmtId="49" xfId="0" applyAlignment="1" applyBorder="1" applyFont="1" applyNumberFormat="1">
      <alignment horizontal="center" shrinkToFit="0" vertical="bottom" wrapText="0"/>
    </xf>
    <xf borderId="2" fillId="10" fontId="15" numFmtId="0" xfId="0" applyAlignment="1" applyBorder="1" applyFont="1">
      <alignment horizontal="center" shrinkToFit="0" vertical="center" wrapText="0"/>
    </xf>
    <xf borderId="2" fillId="10" fontId="15" numFmtId="166" xfId="0" applyAlignment="1" applyBorder="1" applyFont="1" applyNumberFormat="1">
      <alignment horizontal="center" shrinkToFit="0" vertical="bottom" wrapText="0"/>
    </xf>
    <xf borderId="1" fillId="10" fontId="17" numFmtId="166" xfId="0" applyAlignment="1" applyBorder="1" applyFont="1" applyNumberFormat="1">
      <alignment horizontal="center" shrinkToFit="0" vertical="center" wrapText="1"/>
    </xf>
    <xf borderId="1" fillId="10" fontId="5" numFmtId="167" xfId="0" applyAlignment="1" applyBorder="1" applyFont="1" applyNumberFormat="1">
      <alignment horizontal="center" shrinkToFit="0" vertical="bottom" wrapText="0"/>
    </xf>
    <xf borderId="2" fillId="10" fontId="15" numFmtId="0" xfId="0" applyAlignment="1" applyBorder="1" applyFont="1">
      <alignment horizontal="center" shrinkToFit="0" vertical="bottom" wrapText="0"/>
    </xf>
    <xf borderId="2" fillId="10" fontId="13" numFmtId="49" xfId="0" applyAlignment="1" applyBorder="1" applyFont="1" applyNumberFormat="1">
      <alignment horizontal="center" shrinkToFit="0" vertical="center" wrapText="1"/>
    </xf>
    <xf borderId="2" fillId="10" fontId="13" numFmtId="0" xfId="0" applyAlignment="1" applyBorder="1" applyFont="1">
      <alignment horizontal="center" shrinkToFit="0" vertical="center" wrapText="1"/>
    </xf>
    <xf borderId="2" fillId="10" fontId="13" numFmtId="166" xfId="0" applyAlignment="1" applyBorder="1" applyFont="1" applyNumberFormat="1">
      <alignment horizontal="center" shrinkToFit="0" vertical="center" wrapText="1"/>
    </xf>
    <xf borderId="1" fillId="10" fontId="7" numFmtId="166" xfId="0" applyAlignment="1" applyBorder="1" applyFont="1" applyNumberFormat="1">
      <alignment shrinkToFit="0" vertical="bottom" wrapText="0"/>
    </xf>
    <xf borderId="21" fillId="10" fontId="7" numFmtId="0" xfId="0" applyAlignment="1" applyBorder="1" applyFont="1">
      <alignment horizontal="center" shrinkToFit="0" vertical="center" wrapText="1"/>
    </xf>
    <xf borderId="2" fillId="10" fontId="17" numFmtId="166" xfId="0" applyAlignment="1" applyBorder="1" applyFont="1" applyNumberFormat="1">
      <alignment horizontal="center" shrinkToFit="0" vertical="bottom" wrapText="0"/>
    </xf>
    <xf borderId="1" fillId="10" fontId="17" numFmtId="166" xfId="0" applyAlignment="1" applyBorder="1" applyFont="1" applyNumberFormat="1">
      <alignment horizontal="center" shrinkToFit="0" vertical="bottom" wrapText="0"/>
    </xf>
    <xf borderId="2" fillId="10" fontId="19" numFmtId="0" xfId="0" applyAlignment="1" applyBorder="1" applyFont="1">
      <alignment horizontal="center" shrinkToFit="0" vertical="bottom" wrapText="0"/>
    </xf>
    <xf borderId="2" fillId="10" fontId="19" numFmtId="167" xfId="0" applyAlignment="1" applyBorder="1" applyFont="1" applyNumberFormat="1">
      <alignment horizontal="center" shrinkToFit="0" vertical="bottom" wrapText="0"/>
    </xf>
    <xf borderId="2" fillId="10" fontId="19" numFmtId="16" xfId="0" applyAlignment="1" applyBorder="1" applyFont="1" applyNumberFormat="1">
      <alignment horizontal="center" shrinkToFit="0" vertical="bottom" wrapText="0"/>
    </xf>
    <xf borderId="2" fillId="6" fontId="19" numFmtId="165" xfId="0" applyAlignment="1" applyBorder="1" applyFont="1" applyNumberFormat="1">
      <alignment horizontal="center" shrinkToFit="0" vertical="bottom" wrapText="0"/>
    </xf>
    <xf borderId="2" fillId="10" fontId="19" numFmtId="14" xfId="0" applyAlignment="1" applyBorder="1" applyFont="1" applyNumberFormat="1">
      <alignment horizontal="center" shrinkToFit="0" vertical="bottom" wrapText="0"/>
    </xf>
    <xf borderId="1" fillId="10" fontId="19" numFmtId="166" xfId="0" applyAlignment="1" applyBorder="1" applyFont="1" applyNumberFormat="1">
      <alignment horizontal="center" shrinkToFit="0" vertical="bottom" wrapText="0"/>
    </xf>
    <xf borderId="1" fillId="10" fontId="19" numFmtId="0" xfId="0" applyAlignment="1" applyBorder="1" applyFont="1">
      <alignment horizontal="center" shrinkToFit="0" vertical="bottom" wrapText="0"/>
    </xf>
    <xf borderId="2" fillId="10" fontId="20" numFmtId="49" xfId="0" applyAlignment="1" applyBorder="1" applyFont="1" applyNumberFormat="1">
      <alignment horizontal="center" shrinkToFit="0" vertical="center" wrapText="1"/>
    </xf>
    <xf borderId="2" fillId="10" fontId="20" numFmtId="0" xfId="0" applyAlignment="1" applyBorder="1" applyFont="1">
      <alignment horizontal="center" shrinkToFit="0" vertical="center" wrapText="1"/>
    </xf>
    <xf borderId="2" fillId="10" fontId="20" numFmtId="166" xfId="0" applyAlignment="1" applyBorder="1" applyFont="1" applyNumberFormat="1">
      <alignment horizontal="center" shrinkToFit="0" vertical="center" wrapText="1"/>
    </xf>
    <xf borderId="1" fillId="10" fontId="20" numFmtId="0" xfId="0" applyAlignment="1" applyBorder="1" applyFont="1">
      <alignment horizontal="center" shrinkToFit="0" vertical="center" wrapText="1"/>
    </xf>
    <xf borderId="21" fillId="10" fontId="15" numFmtId="0" xfId="0" applyAlignment="1" applyBorder="1" applyFont="1">
      <alignment horizontal="center" shrinkToFit="0" vertical="center" wrapText="1"/>
    </xf>
    <xf borderId="1" fillId="7" fontId="1" numFmtId="166" xfId="0" applyAlignment="1" applyBorder="1" applyFont="1" applyNumberFormat="1">
      <alignment shrinkToFit="0" vertical="bottom" wrapText="0"/>
    </xf>
    <xf borderId="2" fillId="10" fontId="17" numFmtId="0" xfId="0" applyAlignment="1" applyBorder="1" applyFont="1">
      <alignment shrinkToFit="0" vertical="bottom" wrapText="1"/>
    </xf>
    <xf borderId="2" fillId="10" fontId="21" numFmtId="166" xfId="0" applyAlignment="1" applyBorder="1" applyFont="1" applyNumberFormat="1">
      <alignment horizontal="center" shrinkToFit="0" vertical="bottom" wrapText="0"/>
    </xf>
    <xf borderId="2" fillId="7" fontId="5" numFmtId="16" xfId="0" applyAlignment="1" applyBorder="1" applyFont="1" applyNumberFormat="1">
      <alignment shrinkToFit="0" vertical="bottom" wrapText="0"/>
    </xf>
    <xf borderId="2" fillId="7" fontId="5" numFmtId="0" xfId="0" applyAlignment="1" applyBorder="1" applyFont="1">
      <alignment shrinkToFit="0" vertical="bottom" wrapText="0"/>
    </xf>
    <xf borderId="1" fillId="6" fontId="1" numFmtId="166" xfId="0" applyAlignment="1" applyBorder="1" applyFont="1" applyNumberFormat="1">
      <alignment shrinkToFit="0" vertical="bottom" wrapText="0"/>
    </xf>
    <xf borderId="2" fillId="3" fontId="5" numFmtId="16" xfId="0" applyAlignment="1" applyBorder="1" applyFont="1" applyNumberFormat="1">
      <alignment shrinkToFit="0" vertical="bottom" wrapText="0"/>
    </xf>
    <xf borderId="2" fillId="10" fontId="15" numFmtId="0" xfId="0" applyAlignment="1" applyBorder="1" applyFont="1">
      <alignment horizontal="left" shrinkToFit="0" vertical="bottom" wrapText="0"/>
    </xf>
    <xf borderId="2" fillId="10" fontId="1" numFmtId="14" xfId="0" applyAlignment="1" applyBorder="1" applyFont="1" applyNumberFormat="1">
      <alignment shrinkToFit="0" vertical="bottom" wrapText="0"/>
    </xf>
    <xf borderId="2" fillId="10" fontId="20" numFmtId="166" xfId="0" applyAlignment="1" applyBorder="1" applyFont="1" applyNumberFormat="1">
      <alignment horizontal="center" shrinkToFit="0" vertical="bottom" wrapText="0"/>
    </xf>
    <xf borderId="1" fillId="10" fontId="1" numFmtId="16" xfId="0" applyAlignment="1" applyBorder="1" applyFont="1" applyNumberFormat="1">
      <alignment horizontal="center" shrinkToFit="0" vertical="bottom" wrapText="0"/>
    </xf>
    <xf borderId="1" fillId="13" fontId="2" numFmtId="165" xfId="0" applyAlignment="1" applyBorder="1" applyFont="1" applyNumberFormat="1">
      <alignment horizontal="center" shrinkToFit="0" vertical="bottom" wrapText="0"/>
    </xf>
    <xf borderId="1" fillId="13" fontId="2" numFmtId="14" xfId="0" applyAlignment="1" applyBorder="1" applyFont="1" applyNumberFormat="1">
      <alignment horizontal="center" shrinkToFit="0" vertical="bottom" wrapText="0"/>
    </xf>
    <xf borderId="0" fillId="0" fontId="1" numFmtId="169" xfId="0" applyAlignment="1" applyFont="1" applyNumberFormat="1">
      <alignment horizontal="center" shrinkToFit="0" vertical="bottom" wrapText="0"/>
    </xf>
    <xf borderId="1" fillId="10" fontId="20" numFmtId="166" xfId="0" applyAlignment="1" applyBorder="1" applyFont="1" applyNumberFormat="1">
      <alignment horizontal="center" shrinkToFit="0" vertical="center" wrapText="1"/>
    </xf>
    <xf borderId="0" fillId="0" fontId="1" numFmtId="3" xfId="0" applyAlignment="1" applyFont="1" applyNumberFormat="1">
      <alignment shrinkToFit="0" vertical="bottom" wrapText="0"/>
    </xf>
    <xf borderId="0" fillId="0" fontId="22" numFmtId="0" xfId="0" applyAlignment="1" applyFont="1">
      <alignment horizontal="left" shrinkToFit="0" vertical="top" wrapText="1"/>
    </xf>
    <xf borderId="1" fillId="10" fontId="1" numFmtId="165" xfId="0" applyAlignment="1" applyBorder="1" applyFont="1" applyNumberFormat="1">
      <alignment horizontal="center" shrinkToFit="0" vertical="bottom" wrapText="0"/>
    </xf>
    <xf borderId="2" fillId="10" fontId="8" numFmtId="0" xfId="0" applyAlignment="1" applyBorder="1" applyFont="1">
      <alignment shrinkToFit="0" vertical="bottom" wrapText="0"/>
    </xf>
    <xf borderId="1" fillId="10" fontId="1" numFmtId="14" xfId="0" applyAlignment="1" applyBorder="1" applyFont="1" applyNumberFormat="1">
      <alignment horizontal="center" shrinkToFit="0" vertical="bottom" wrapText="0"/>
    </xf>
    <xf borderId="1" fillId="10" fontId="22" numFmtId="0" xfId="0" applyAlignment="1" applyBorder="1" applyFont="1">
      <alignment shrinkToFit="0" vertical="bottom" wrapText="0"/>
    </xf>
    <xf borderId="1" fillId="10" fontId="1" numFmtId="49" xfId="0" applyAlignment="1" applyBorder="1" applyFont="1" applyNumberFormat="1">
      <alignment horizontal="right" shrinkToFit="0" vertical="bottom" wrapText="0"/>
    </xf>
    <xf borderId="2" fillId="10" fontId="15" numFmtId="0" xfId="0" applyAlignment="1" applyBorder="1" applyFont="1">
      <alignment horizontal="center" shrinkToFit="0" vertical="bottom" wrapText="1"/>
    </xf>
    <xf borderId="1" fillId="10" fontId="1" numFmtId="165" xfId="0" applyAlignment="1" applyBorder="1" applyFont="1" applyNumberFormat="1">
      <alignment shrinkToFit="0" vertical="bottom" wrapText="0"/>
    </xf>
    <xf borderId="1" fillId="10" fontId="23" numFmtId="0" xfId="0" applyAlignment="1" applyBorder="1" applyFont="1">
      <alignment horizontal="left" shrinkToFit="0" vertical="center" wrapText="1"/>
    </xf>
    <xf borderId="1" fillId="10" fontId="1" numFmtId="0" xfId="0" applyAlignment="1" applyBorder="1" applyFont="1">
      <alignment horizontal="left"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166" xfId="0" applyAlignment="1" applyFont="1" applyNumberFormat="1">
      <alignment shrinkToFit="0" vertical="bottom" wrapText="0"/>
    </xf>
    <xf borderId="0" fillId="0" fontId="16" numFmtId="166" xfId="0" applyAlignment="1" applyFont="1" applyNumberFormat="1">
      <alignment shrinkToFit="0" vertical="bottom" wrapText="0"/>
    </xf>
    <xf borderId="0" fillId="0" fontId="7" numFmtId="0" xfId="0" applyAlignment="1" applyFont="1">
      <alignment horizontal="center" shrinkToFit="0" vertical="center" wrapText="1"/>
    </xf>
    <xf borderId="0" fillId="0" fontId="7" numFmtId="166" xfId="0" applyAlignment="1" applyFont="1" applyNumberFormat="1">
      <alignment horizontal="center" shrinkToFit="0" vertical="center" wrapText="1"/>
    </xf>
    <xf borderId="0" fillId="0" fontId="2" numFmtId="165" xfId="0" applyAlignment="1" applyFont="1" applyNumberFormat="1">
      <alignment shrinkToFit="0" vertical="bottom" wrapText="0"/>
    </xf>
    <xf borderId="13" fillId="10" fontId="15" numFmtId="49" xfId="0" applyAlignment="1" applyBorder="1" applyFont="1" applyNumberFormat="1">
      <alignment horizontal="center" shrinkToFit="0" vertical="center" wrapText="1"/>
    </xf>
    <xf borderId="2" fillId="3" fontId="15" numFmtId="0" xfId="0" applyAlignment="1" applyBorder="1" applyFont="1">
      <alignment horizontal="center" shrinkToFit="0" vertical="center" wrapText="1"/>
    </xf>
    <xf borderId="21" fillId="10" fontId="7" numFmtId="49" xfId="0" applyAlignment="1" applyBorder="1" applyFont="1" applyNumberFormat="1">
      <alignment horizontal="center" shrinkToFit="0" vertical="center" wrapText="1"/>
    </xf>
    <xf borderId="21" fillId="3" fontId="15" numFmtId="0" xfId="0" applyAlignment="1" applyBorder="1" applyFont="1">
      <alignment horizontal="center" shrinkToFit="0" vertical="center" wrapText="1"/>
    </xf>
    <xf borderId="21" fillId="10" fontId="7" numFmtId="166" xfId="0" applyAlignment="1" applyBorder="1" applyFont="1" applyNumberFormat="1">
      <alignment horizontal="center" shrinkToFit="0" vertical="center" wrapText="1"/>
    </xf>
    <xf borderId="2" fillId="10" fontId="15" numFmtId="165" xfId="0" applyAlignment="1" applyBorder="1" applyFont="1" applyNumberFormat="1">
      <alignment horizontal="center" shrinkToFit="0" vertical="bottom" wrapText="0"/>
    </xf>
    <xf borderId="2" fillId="10" fontId="8" numFmtId="166" xfId="0" applyAlignment="1" applyBorder="1" applyFont="1" applyNumberFormat="1">
      <alignment horizontal="center" shrinkToFit="0" vertical="bottom" wrapText="0"/>
    </xf>
    <xf borderId="21" fillId="10" fontId="15" numFmtId="166" xfId="0" applyAlignment="1" applyBorder="1" applyFont="1" applyNumberFormat="1">
      <alignment horizontal="center" shrinkToFit="0" vertical="center" wrapText="1"/>
    </xf>
    <xf borderId="2" fillId="10" fontId="15" numFmtId="166" xfId="0" applyAlignment="1" applyBorder="1" applyFont="1" applyNumberFormat="1">
      <alignment horizontal="center" shrinkToFit="0" vertical="bottom" wrapText="1"/>
    </xf>
    <xf borderId="1" fillId="10" fontId="24" numFmtId="0" xfId="0" applyAlignment="1" applyBorder="1" applyFont="1">
      <alignment horizontal="center" shrinkToFit="0" vertical="center" wrapText="0"/>
    </xf>
    <xf borderId="1" fillId="10" fontId="25" numFmtId="0" xfId="0" applyAlignment="1" applyBorder="1" applyFont="1">
      <alignment horizontal="left" shrinkToFit="0" vertical="center" wrapText="0"/>
    </xf>
    <xf borderId="1" fillId="10" fontId="25" numFmtId="3" xfId="0" applyAlignment="1" applyBorder="1" applyFont="1" applyNumberFormat="1">
      <alignment shrinkToFit="0" vertical="center" wrapText="0"/>
    </xf>
    <xf borderId="28" fillId="10" fontId="26" numFmtId="0" xfId="0" applyAlignment="1" applyBorder="1" applyFont="1">
      <alignment horizontal="center" shrinkToFit="0" vertical="bottom" wrapText="0"/>
    </xf>
    <xf borderId="29" fillId="10" fontId="26" numFmtId="0" xfId="0" applyAlignment="1" applyBorder="1" applyFont="1">
      <alignment horizontal="center" shrinkToFit="0" vertical="bottom" wrapText="0"/>
    </xf>
    <xf borderId="30" fillId="0" fontId="6" numFmtId="0" xfId="0" applyBorder="1" applyFont="1"/>
    <xf borderId="31" fillId="0" fontId="6" numFmtId="0" xfId="0" applyBorder="1" applyFont="1"/>
    <xf borderId="32" fillId="10" fontId="26" numFmtId="0" xfId="0" applyAlignment="1" applyBorder="1" applyFont="1">
      <alignment horizontal="center" shrinkToFit="0" vertical="bottom" wrapText="0"/>
    </xf>
    <xf borderId="33" fillId="10" fontId="26" numFmtId="0" xfId="0" applyAlignment="1" applyBorder="1" applyFont="1">
      <alignment horizontal="center" shrinkToFit="0" vertical="bottom" wrapText="0"/>
    </xf>
    <xf borderId="33" fillId="6" fontId="24" numFmtId="0" xfId="0" applyAlignment="1" applyBorder="1" applyFont="1">
      <alignment horizontal="center" shrinkToFit="0" vertical="center" wrapText="0"/>
    </xf>
    <xf borderId="32" fillId="6" fontId="24" numFmtId="0" xfId="0" applyAlignment="1" applyBorder="1" applyFont="1">
      <alignment horizontal="left" shrinkToFit="0" vertical="bottom" wrapText="0"/>
    </xf>
    <xf borderId="33" fillId="6" fontId="24" numFmtId="4" xfId="0" applyAlignment="1" applyBorder="1" applyFont="1" applyNumberFormat="1">
      <alignment horizontal="right" shrinkToFit="0" vertical="bottom" wrapText="0"/>
    </xf>
    <xf borderId="33" fillId="10" fontId="24" numFmtId="0" xfId="0" applyAlignment="1" applyBorder="1" applyFont="1">
      <alignment horizontal="center" shrinkToFit="0" vertical="center" wrapText="0"/>
    </xf>
    <xf borderId="32" fillId="10" fontId="24" numFmtId="0" xfId="0" applyAlignment="1" applyBorder="1" applyFont="1">
      <alignment horizontal="left" shrinkToFit="0" vertical="bottom" wrapText="0"/>
    </xf>
    <xf borderId="33" fillId="10" fontId="24" numFmtId="4" xfId="0" applyAlignment="1" applyBorder="1" applyFont="1" applyNumberFormat="1">
      <alignment horizontal="right" shrinkToFit="0" vertical="bottom" wrapText="0"/>
    </xf>
    <xf borderId="33" fillId="6" fontId="24" numFmtId="3" xfId="0" applyAlignment="1" applyBorder="1" applyFont="1" applyNumberFormat="1">
      <alignment horizontal="center" shrinkToFit="0" vertical="center" wrapText="0"/>
    </xf>
    <xf borderId="33" fillId="7" fontId="24" numFmtId="49" xfId="0" applyAlignment="1" applyBorder="1" applyFont="1" applyNumberFormat="1">
      <alignment horizontal="center" shrinkToFit="0" vertical="center" wrapText="0"/>
    </xf>
    <xf borderId="32" fillId="7" fontId="24" numFmtId="0" xfId="0" applyAlignment="1" applyBorder="1" applyFont="1">
      <alignment horizontal="left" shrinkToFit="0" vertical="bottom" wrapText="0"/>
    </xf>
    <xf borderId="33" fillId="7" fontId="24" numFmtId="4" xfId="0" applyAlignment="1" applyBorder="1" applyFont="1" applyNumberFormat="1">
      <alignment horizontal="right" shrinkToFit="0" vertical="bottom" wrapText="0"/>
    </xf>
    <xf borderId="34" fillId="10" fontId="26" numFmtId="0" xfId="0" applyAlignment="1" applyBorder="1" applyFont="1">
      <alignment horizontal="center" shrinkToFit="0" vertical="bottom" wrapText="0"/>
    </xf>
    <xf borderId="35" fillId="0" fontId="6" numFmtId="0" xfId="0" applyBorder="1" applyFont="1"/>
    <xf borderId="33" fillId="10" fontId="26" numFmtId="4" xfId="0" applyAlignment="1" applyBorder="1" applyFont="1" applyNumberFormat="1">
      <alignment horizontal="right" shrinkToFit="0" vertical="bottom" wrapText="0"/>
    </xf>
    <xf borderId="36" fillId="15" fontId="1" numFmtId="0" xfId="0" applyAlignment="1" applyBorder="1" applyFont="1">
      <alignment horizontal="center" shrinkToFit="0" vertical="bottom" wrapText="0"/>
    </xf>
    <xf borderId="37" fillId="0" fontId="6" numFmtId="0" xfId="0" applyBorder="1" applyFont="1"/>
    <xf borderId="38" fillId="0" fontId="6" numFmtId="0" xfId="0" applyBorder="1" applyFont="1"/>
    <xf borderId="2" fillId="15" fontId="1" numFmtId="0" xfId="0" applyAlignment="1" applyBorder="1" applyFont="1">
      <alignment shrinkToFit="0" vertical="bottom" wrapText="0"/>
    </xf>
    <xf borderId="2" fillId="15" fontId="1" numFmtId="0" xfId="0" applyAlignment="1" applyBorder="1" applyFont="1">
      <alignment horizontal="center" shrinkToFit="0" vertical="bottom" wrapText="0"/>
    </xf>
    <xf borderId="2" fillId="15" fontId="1" numFmtId="165" xfId="0" applyAlignment="1" applyBorder="1" applyFont="1" applyNumberFormat="1">
      <alignment shrinkToFit="0" vertical="bottom" wrapText="0"/>
    </xf>
    <xf borderId="2" fillId="3" fontId="22" numFmtId="0" xfId="0" applyAlignment="1" applyBorder="1" applyFont="1">
      <alignment shrinkToFit="0" vertical="bottom" wrapText="0"/>
    </xf>
    <xf borderId="2" fillId="3" fontId="1" numFmtId="165" xfId="0" applyAlignment="1" applyBorder="1" applyFont="1" applyNumberFormat="1">
      <alignment shrinkToFit="0" vertical="bottom" wrapText="0"/>
    </xf>
    <xf borderId="2" fillId="0" fontId="22" numFmtId="0" xfId="0" applyAlignment="1" applyBorder="1" applyFont="1">
      <alignment shrinkToFit="0" vertical="bottom" wrapText="0"/>
    </xf>
    <xf borderId="2" fillId="10" fontId="1" numFmtId="165" xfId="0" applyAlignment="1" applyBorder="1" applyFont="1" applyNumberFormat="1">
      <alignment shrinkToFit="0" vertical="bottom" wrapText="0"/>
    </xf>
    <xf borderId="2" fillId="0" fontId="1" numFmtId="165" xfId="0" applyAlignment="1" applyBorder="1" applyFont="1" applyNumberFormat="1">
      <alignment shrinkToFit="0" vertical="bottom" wrapText="0"/>
    </xf>
    <xf borderId="2" fillId="7" fontId="23" numFmtId="0" xfId="0" applyAlignment="1" applyBorder="1" applyFont="1">
      <alignment horizontal="left" shrinkToFit="0" vertical="center" wrapText="1"/>
    </xf>
    <xf borderId="2" fillId="7" fontId="1" numFmtId="165" xfId="0" applyAlignment="1" applyBorder="1" applyFont="1" applyNumberFormat="1">
      <alignment shrinkToFit="0" vertical="bottom" wrapText="0"/>
    </xf>
    <xf borderId="1" fillId="3" fontId="22" numFmtId="0" xfId="0" applyAlignment="1" applyBorder="1" applyFont="1">
      <alignment shrinkToFit="0" vertical="bottom" wrapText="0"/>
    </xf>
    <xf borderId="13" fillId="3" fontId="23" numFmtId="0" xfId="0" applyAlignment="1" applyBorder="1" applyFont="1">
      <alignment horizontal="center" shrinkToFit="0" vertical="center" wrapText="1"/>
    </xf>
    <xf borderId="2" fillId="3" fontId="23" numFmtId="0" xfId="0" applyAlignment="1" applyBorder="1" applyFont="1">
      <alignment horizontal="center" shrinkToFit="0" vertical="center" wrapText="1"/>
    </xf>
    <xf borderId="2" fillId="0" fontId="23" numFmtId="0" xfId="0" applyAlignment="1" applyBorder="1" applyFont="1">
      <alignment horizontal="center" shrinkToFit="0" vertical="center" wrapText="1"/>
    </xf>
    <xf borderId="2" fillId="10" fontId="22" numFmtId="0" xfId="0" applyAlignment="1" applyBorder="1" applyFont="1">
      <alignment shrinkToFit="0" vertical="bottom" wrapText="0"/>
    </xf>
    <xf borderId="2" fillId="0" fontId="23" numFmtId="0" xfId="0" applyAlignment="1" applyBorder="1" applyFont="1">
      <alignment horizontal="center" shrinkToFit="0" vertical="center" wrapText="0"/>
    </xf>
    <xf borderId="2" fillId="0" fontId="0" numFmtId="166" xfId="0" applyAlignment="1" applyBorder="1" applyFont="1" applyNumberFormat="1">
      <alignment horizontal="center" shrinkToFit="0" vertical="center" wrapText="1"/>
    </xf>
    <xf borderId="1" fillId="18" fontId="27" numFmtId="165" xfId="0" applyAlignment="1" applyBorder="1" applyFill="1" applyFont="1" applyNumberFormat="1">
      <alignment shrinkToFit="0" vertical="bottom" wrapText="0"/>
    </xf>
    <xf borderId="2" fillId="10" fontId="0" numFmtId="0" xfId="0" applyAlignment="1" applyBorder="1" applyFont="1">
      <alignment horizontal="center" shrinkToFit="0" vertical="center" wrapText="1"/>
    </xf>
    <xf borderId="2" fillId="10" fontId="0" numFmtId="0" xfId="0" applyAlignment="1" applyBorder="1" applyFont="1">
      <alignment horizontal="left" shrinkToFit="0" vertical="center" wrapText="1"/>
    </xf>
    <xf borderId="2" fillId="0" fontId="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76200</xdr:colOff>
      <xdr:row>0</xdr:row>
      <xdr:rowOff>104775</xdr:rowOff>
    </xdr:from>
    <xdr:ext cx="542925" cy="714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9.57"/>
    <col customWidth="1" min="3" max="3" width="10.43"/>
    <col customWidth="1" min="4" max="4" width="10.29"/>
    <col customWidth="1" min="5" max="5" width="21.29"/>
    <col customWidth="1" min="6" max="6" width="50.57"/>
    <col customWidth="1" min="7" max="7" width="21.57"/>
    <col customWidth="1" min="8" max="17" width="74.29"/>
    <col customWidth="1" min="18" max="26" width="8.0"/>
  </cols>
  <sheetData>
    <row r="1" ht="52.5" customHeight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5"/>
      <c r="D2" s="1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5"/>
      <c r="D3" s="1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25" t="s">
        <v>14</v>
      </c>
      <c r="C4" s="26">
        <v>41821.0</v>
      </c>
      <c r="D4" s="25" t="s">
        <v>20</v>
      </c>
      <c r="E4" s="28">
        <v>16736.13</v>
      </c>
      <c r="F4" s="25" t="s">
        <v>23</v>
      </c>
      <c r="G4" s="30" t="s">
        <v>22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25"/>
      <c r="C5" s="26">
        <v>41950.0</v>
      </c>
      <c r="D5" s="25" t="s">
        <v>24</v>
      </c>
      <c r="E5" s="28">
        <v>24062.85</v>
      </c>
      <c r="F5" s="25" t="s">
        <v>25</v>
      </c>
      <c r="G5" s="30" t="s">
        <v>22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5"/>
      <c r="D6" s="1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2" t="s">
        <v>26</v>
      </c>
      <c r="C7" s="13">
        <v>41981.0</v>
      </c>
      <c r="D7" s="12" t="s">
        <v>27</v>
      </c>
      <c r="E7" s="14">
        <v>4830.14</v>
      </c>
      <c r="F7" s="12" t="s">
        <v>28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2"/>
      <c r="C8" s="13"/>
      <c r="D8" s="12"/>
      <c r="E8" s="14">
        <f>E7-2870.97</f>
        <v>1959.17</v>
      </c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2"/>
      <c r="C9" s="13"/>
      <c r="D9" s="12"/>
      <c r="E9" s="14">
        <f>E8-1959.17</f>
        <v>0</v>
      </c>
      <c r="F9" s="1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2" t="s">
        <v>26</v>
      </c>
      <c r="C10" s="36">
        <v>41990.0</v>
      </c>
      <c r="D10" s="14" t="s">
        <v>31</v>
      </c>
      <c r="E10" s="37">
        <v>28153.54</v>
      </c>
      <c r="F10" s="12" t="s">
        <v>28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36"/>
      <c r="D11" s="14"/>
      <c r="E11" s="37">
        <f>E10-518.83</f>
        <v>27634.71</v>
      </c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3"/>
      <c r="C12" s="39">
        <v>42808.0</v>
      </c>
      <c r="D12" s="40">
        <v>3504.0</v>
      </c>
      <c r="E12" s="37">
        <f>E11-4574.61</f>
        <v>23060.1</v>
      </c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3"/>
      <c r="C13" s="39">
        <v>42808.0</v>
      </c>
      <c r="D13" s="40">
        <v>3503.0</v>
      </c>
      <c r="E13" s="37">
        <f>E12-5464.27</f>
        <v>17595.83</v>
      </c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3"/>
      <c r="C14" s="39">
        <v>42836.0</v>
      </c>
      <c r="D14" s="40">
        <v>3550.0</v>
      </c>
      <c r="E14" s="37">
        <f>E13-6280.83</f>
        <v>11315</v>
      </c>
      <c r="F14" s="1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3">
        <v>42865.0</v>
      </c>
      <c r="C15" s="39">
        <v>42874.0</v>
      </c>
      <c r="D15" s="40">
        <v>3580.0</v>
      </c>
      <c r="E15" s="37">
        <f>E14-5666.97</f>
        <v>5648.03</v>
      </c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3">
        <v>42898.0</v>
      </c>
      <c r="C16" s="39">
        <v>42920.0</v>
      </c>
      <c r="D16" s="40">
        <v>3614.0</v>
      </c>
      <c r="E16" s="37">
        <f>E15-5648.03</f>
        <v>0</v>
      </c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5" t="s">
        <v>35</v>
      </c>
      <c r="C17" s="26">
        <v>41858.0</v>
      </c>
      <c r="D17" s="25" t="s">
        <v>36</v>
      </c>
      <c r="E17" s="28">
        <v>154020.8</v>
      </c>
      <c r="F17" s="25" t="s">
        <v>37</v>
      </c>
      <c r="G17" s="30" t="s">
        <v>22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5"/>
      <c r="D18" s="1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5"/>
      <c r="D19" s="1"/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6" t="s">
        <v>38</v>
      </c>
      <c r="C20" s="43">
        <v>41981.0</v>
      </c>
      <c r="D20" s="16" t="s">
        <v>40</v>
      </c>
      <c r="E20" s="63">
        <v>44600.0</v>
      </c>
      <c r="F20" s="16" t="s">
        <v>76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6"/>
      <c r="C21" s="43">
        <v>42997.0</v>
      </c>
      <c r="D21" s="16">
        <v>22024.0</v>
      </c>
      <c r="E21" s="64">
        <f>E20-1037</f>
        <v>43563</v>
      </c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6"/>
      <c r="C22" s="43">
        <v>43025.0</v>
      </c>
      <c r="D22" s="65">
        <v>43033.0</v>
      </c>
      <c r="E22" s="64">
        <f>E21-4305</f>
        <v>39258</v>
      </c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6"/>
      <c r="C23" s="43">
        <v>43052.0</v>
      </c>
      <c r="D23" s="65">
        <v>43060.0</v>
      </c>
      <c r="E23" s="64">
        <f>E22-4349</f>
        <v>34909</v>
      </c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6"/>
      <c r="C24" s="43"/>
      <c r="D24" s="65"/>
      <c r="E24" s="64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6"/>
      <c r="C25" s="43">
        <v>41981.0</v>
      </c>
      <c r="D25" s="16" t="s">
        <v>88</v>
      </c>
      <c r="E25" s="63">
        <v>31840.0</v>
      </c>
      <c r="F25" s="16" t="s">
        <v>81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6"/>
      <c r="C26" s="43">
        <v>42997.0</v>
      </c>
      <c r="D26" s="66">
        <v>22025.0</v>
      </c>
      <c r="E26" s="64">
        <f>E25-248</f>
        <v>31592</v>
      </c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6"/>
      <c r="C27" s="43">
        <v>43025.0</v>
      </c>
      <c r="D27" s="68">
        <v>43033.0</v>
      </c>
      <c r="E27" s="64">
        <f>E26-1416</f>
        <v>30176</v>
      </c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6"/>
      <c r="C28" s="43">
        <v>43052.0</v>
      </c>
      <c r="D28" s="68">
        <v>43060.0</v>
      </c>
      <c r="E28" s="64">
        <f>E27-2992</f>
        <v>27184</v>
      </c>
      <c r="F28" s="16" t="s">
        <v>94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6"/>
      <c r="C29" s="43"/>
      <c r="D29" s="68"/>
      <c r="E29" s="64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6"/>
      <c r="C30" s="43">
        <v>41990.0</v>
      </c>
      <c r="D30" s="16" t="s">
        <v>95</v>
      </c>
      <c r="E30" s="63">
        <v>44600.0</v>
      </c>
      <c r="F30" s="16" t="s">
        <v>76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6"/>
      <c r="C31" s="43">
        <v>41990.0</v>
      </c>
      <c r="D31" s="16" t="s">
        <v>96</v>
      </c>
      <c r="E31" s="63">
        <v>31840.0</v>
      </c>
      <c r="F31" s="16" t="s">
        <v>81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5"/>
      <c r="D32" s="1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5"/>
      <c r="D33" s="1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5" t="s">
        <v>97</v>
      </c>
      <c r="C34" s="26">
        <v>41858.0</v>
      </c>
      <c r="D34" s="25" t="s">
        <v>98</v>
      </c>
      <c r="E34" s="28">
        <v>47844.6</v>
      </c>
      <c r="F34" s="25" t="s">
        <v>99</v>
      </c>
      <c r="G34" s="30" t="s">
        <v>22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5"/>
      <c r="D35" s="1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2" t="s">
        <v>85</v>
      </c>
      <c r="C36" s="70">
        <v>41990.0</v>
      </c>
      <c r="D36" s="12" t="s">
        <v>100</v>
      </c>
      <c r="E36" s="37">
        <v>18675.86</v>
      </c>
      <c r="F36" s="12" t="s">
        <v>101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2"/>
      <c r="C37" s="72"/>
      <c r="D37" s="12"/>
      <c r="E37" s="37">
        <f>E36-17203.35</f>
        <v>1472.51</v>
      </c>
      <c r="F37" s="1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2"/>
      <c r="C38" s="72"/>
      <c r="D38" s="12"/>
      <c r="E38" s="37">
        <f>E37-1472.51</f>
        <v>0</v>
      </c>
      <c r="F38" s="1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 t="s">
        <v>102</v>
      </c>
      <c r="C39" s="26">
        <v>41858.0</v>
      </c>
      <c r="D39" s="25" t="s">
        <v>103</v>
      </c>
      <c r="E39" s="28">
        <v>15000.0</v>
      </c>
      <c r="F39" s="25" t="s">
        <v>104</v>
      </c>
      <c r="G39" s="30" t="s">
        <v>22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/>
      <c r="C40" s="26">
        <v>41877.0</v>
      </c>
      <c r="D40" s="25" t="s">
        <v>105</v>
      </c>
      <c r="E40" s="28">
        <v>68250.0</v>
      </c>
      <c r="F40" s="25" t="s">
        <v>106</v>
      </c>
      <c r="G40" s="30" t="s">
        <v>22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5"/>
      <c r="D41" s="1"/>
      <c r="E41" s="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5"/>
      <c r="D42" s="1"/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" t="s">
        <v>107</v>
      </c>
      <c r="C43" s="26">
        <v>41857.0</v>
      </c>
      <c r="D43" s="25" t="s">
        <v>108</v>
      </c>
      <c r="E43" s="28">
        <v>31606.28</v>
      </c>
      <c r="F43" s="25" t="s">
        <v>109</v>
      </c>
      <c r="G43" s="30" t="s">
        <v>22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2" t="s">
        <v>107</v>
      </c>
      <c r="C44" s="70">
        <v>41990.0</v>
      </c>
      <c r="D44" s="12" t="s">
        <v>110</v>
      </c>
      <c r="E44" s="37">
        <v>53299.6</v>
      </c>
      <c r="F44" s="12" t="s">
        <v>111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2"/>
      <c r="C45" s="72"/>
      <c r="D45" s="12"/>
      <c r="E45" s="37">
        <f>E44-14091</f>
        <v>39208.6</v>
      </c>
      <c r="F45" s="1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2"/>
      <c r="C46" s="39">
        <v>42775.0</v>
      </c>
      <c r="D46" s="40">
        <v>1094.0</v>
      </c>
      <c r="E46" s="37">
        <f>E45-19416.6</f>
        <v>19792</v>
      </c>
      <c r="F46" s="1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2"/>
      <c r="C47" s="39">
        <v>42809.0</v>
      </c>
      <c r="D47" s="40">
        <v>1117.0</v>
      </c>
      <c r="E47" s="37">
        <f>E46-17123.4</f>
        <v>2668.6</v>
      </c>
      <c r="F47" s="1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2"/>
      <c r="C48" s="39">
        <v>42835.0</v>
      </c>
      <c r="D48" s="40">
        <v>1139.0</v>
      </c>
      <c r="E48" s="37">
        <f>E47-2668.6</f>
        <v>0</v>
      </c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5" t="s">
        <v>123</v>
      </c>
      <c r="C49" s="26">
        <v>41981.0</v>
      </c>
      <c r="D49" s="25" t="s">
        <v>124</v>
      </c>
      <c r="E49" s="28">
        <v>37265.12</v>
      </c>
      <c r="F49" s="25" t="s">
        <v>125</v>
      </c>
      <c r="G49" s="30" t="s">
        <v>22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5"/>
      <c r="D50" s="1"/>
      <c r="E50" s="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5"/>
      <c r="D51" s="1"/>
      <c r="E51" s="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5" t="s">
        <v>126</v>
      </c>
      <c r="C52" s="26">
        <v>41821.0</v>
      </c>
      <c r="D52" s="25" t="s">
        <v>128</v>
      </c>
      <c r="E52" s="28">
        <v>59136.0</v>
      </c>
      <c r="F52" s="25" t="s">
        <v>130</v>
      </c>
      <c r="G52" s="30" t="s">
        <v>22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5"/>
      <c r="D53" s="1"/>
      <c r="E53" s="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2" t="s">
        <v>137</v>
      </c>
      <c r="C54" s="70">
        <v>41981.0</v>
      </c>
      <c r="D54" s="12" t="s">
        <v>138</v>
      </c>
      <c r="E54" s="37">
        <v>2440.96</v>
      </c>
      <c r="F54" s="12" t="s">
        <v>139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2"/>
      <c r="C55" s="39">
        <v>42811.0</v>
      </c>
      <c r="D55" s="40">
        <v>1500.0</v>
      </c>
      <c r="E55" s="37">
        <f>E54-2440.96</f>
        <v>0</v>
      </c>
      <c r="F55" s="1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6" t="s">
        <v>147</v>
      </c>
      <c r="C56" s="43">
        <v>41981.0</v>
      </c>
      <c r="D56" s="16" t="s">
        <v>148</v>
      </c>
      <c r="E56" s="63">
        <v>31840.0</v>
      </c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6"/>
      <c r="C57" s="43">
        <v>42996.0</v>
      </c>
      <c r="D57" s="73">
        <v>289.0</v>
      </c>
      <c r="E57" s="63">
        <f>E56-224</f>
        <v>31616</v>
      </c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6"/>
      <c r="C58" s="43">
        <v>41990.0</v>
      </c>
      <c r="D58" s="16" t="s">
        <v>155</v>
      </c>
      <c r="E58" s="63">
        <v>31840.0</v>
      </c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6"/>
      <c r="C59" s="43">
        <v>43024.0</v>
      </c>
      <c r="D59" s="65">
        <v>43035.0</v>
      </c>
      <c r="E59" s="63">
        <f>E58-2064</f>
        <v>29776</v>
      </c>
      <c r="F59" s="16" t="s">
        <v>166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6"/>
      <c r="C60" s="43">
        <v>43049.0</v>
      </c>
      <c r="D60" s="65">
        <v>43060.0</v>
      </c>
      <c r="E60" s="63">
        <f>E59-1168</f>
        <v>28608</v>
      </c>
      <c r="F60" s="16" t="s">
        <v>172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77"/>
      <c r="E61" s="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5" t="s">
        <v>178</v>
      </c>
      <c r="C62" s="26">
        <v>41821.0</v>
      </c>
      <c r="D62" s="25" t="s">
        <v>179</v>
      </c>
      <c r="E62" s="28">
        <v>95433.9</v>
      </c>
      <c r="F62" s="25" t="s">
        <v>181</v>
      </c>
      <c r="G62" s="79" t="s">
        <v>22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5"/>
      <c r="C63" s="26">
        <v>41988.0</v>
      </c>
      <c r="D63" s="25" t="s">
        <v>189</v>
      </c>
      <c r="E63" s="28">
        <v>500000.0</v>
      </c>
      <c r="F63" s="25" t="s">
        <v>190</v>
      </c>
      <c r="G63" s="8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5"/>
      <c r="D64" s="1"/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2" t="s">
        <v>195</v>
      </c>
      <c r="C65" s="13">
        <v>41981.0</v>
      </c>
      <c r="D65" s="12" t="s">
        <v>197</v>
      </c>
      <c r="E65" s="14">
        <v>44600.0</v>
      </c>
      <c r="F65" s="12" t="s">
        <v>76</v>
      </c>
      <c r="G65" s="12" t="s">
        <v>13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2"/>
      <c r="C66" s="39">
        <v>42808.0</v>
      </c>
      <c r="D66" s="40">
        <v>150.0</v>
      </c>
      <c r="E66" s="37">
        <f>E65-2624</f>
        <v>41976</v>
      </c>
      <c r="F66" s="12"/>
      <c r="G66" s="1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2"/>
      <c r="C67" s="39">
        <v>42836.0</v>
      </c>
      <c r="D67" s="40">
        <v>152.0</v>
      </c>
      <c r="E67" s="37">
        <f>E66-5653</f>
        <v>36323</v>
      </c>
      <c r="F67" s="12"/>
      <c r="G67" s="1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36">
        <v>42866.0</v>
      </c>
      <c r="C68" s="39">
        <v>42874.0</v>
      </c>
      <c r="D68" s="40">
        <v>154.0</v>
      </c>
      <c r="E68" s="37">
        <f>E67-13718</f>
        <v>22605</v>
      </c>
      <c r="F68" s="12"/>
      <c r="G68" s="1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36">
        <v>42890.0</v>
      </c>
      <c r="C69" s="39">
        <v>42920.0</v>
      </c>
      <c r="D69" s="40">
        <v>155.0</v>
      </c>
      <c r="E69" s="37">
        <f>E68-14377</f>
        <v>8228</v>
      </c>
      <c r="F69" s="12"/>
      <c r="G69" s="1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36">
        <v>42923.0</v>
      </c>
      <c r="C70" s="39">
        <v>42930.0</v>
      </c>
      <c r="D70" s="40">
        <v>158.0</v>
      </c>
      <c r="E70" s="37">
        <f>E69-5645</f>
        <v>2583</v>
      </c>
      <c r="F70" s="12"/>
      <c r="G70" s="1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36">
        <v>42956.0</v>
      </c>
      <c r="C71" s="39">
        <v>42962.0</v>
      </c>
      <c r="D71" s="40">
        <v>160.0</v>
      </c>
      <c r="E71" s="37">
        <f>E70-2583</f>
        <v>0</v>
      </c>
      <c r="F71" s="12"/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6"/>
      <c r="C72" s="43">
        <v>41990.0</v>
      </c>
      <c r="D72" s="16" t="s">
        <v>204</v>
      </c>
      <c r="E72" s="18">
        <v>44600.0</v>
      </c>
      <c r="F72" s="16" t="s">
        <v>76</v>
      </c>
      <c r="G72" s="19" t="s">
        <v>13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81">
        <v>42956.0</v>
      </c>
      <c r="C73" s="82">
        <v>42962.0</v>
      </c>
      <c r="D73" s="83">
        <v>160.0</v>
      </c>
      <c r="E73" s="64">
        <f>E72-6079</f>
        <v>38521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81">
        <v>42992.0</v>
      </c>
      <c r="C74" s="82">
        <v>43000.0</v>
      </c>
      <c r="D74" s="83">
        <v>162.0</v>
      </c>
      <c r="E74" s="64">
        <f>E73-7413</f>
        <v>31108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81">
        <v>43018.0</v>
      </c>
      <c r="C75" s="82">
        <v>43033.0</v>
      </c>
      <c r="D75" s="83">
        <v>164.0</v>
      </c>
      <c r="E75" s="64">
        <f>E74-8358</f>
        <v>22750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81">
        <v>43049.0</v>
      </c>
      <c r="C76" s="82">
        <v>43060.0</v>
      </c>
      <c r="D76" s="83">
        <v>167.0</v>
      </c>
      <c r="E76" s="64">
        <f>E75-2196</f>
        <v>20554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5" t="s">
        <v>210</v>
      </c>
      <c r="C77" s="26">
        <v>41821.0</v>
      </c>
      <c r="D77" s="25" t="s">
        <v>211</v>
      </c>
      <c r="E77" s="28">
        <v>36979.07</v>
      </c>
      <c r="F77" s="25" t="s">
        <v>212</v>
      </c>
      <c r="G77" s="30" t="s">
        <v>22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5"/>
      <c r="D78" s="1"/>
      <c r="E78" s="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2" t="s">
        <v>201</v>
      </c>
      <c r="C79" s="70">
        <v>41990.0</v>
      </c>
      <c r="D79" s="12" t="s">
        <v>213</v>
      </c>
      <c r="E79" s="37">
        <v>91965.83</v>
      </c>
      <c r="F79" s="12" t="s">
        <v>203</v>
      </c>
      <c r="G79" s="19" t="s">
        <v>13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2"/>
      <c r="C80" s="39">
        <v>42842.0</v>
      </c>
      <c r="D80" s="40">
        <v>422.0</v>
      </c>
      <c r="E80" s="37">
        <v>799.87</v>
      </c>
      <c r="F80" s="1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84">
        <v>42956.0</v>
      </c>
      <c r="C81" s="39">
        <v>42962.0</v>
      </c>
      <c r="D81" s="40">
        <v>463.0</v>
      </c>
      <c r="E81" s="37">
        <f>E80-799.87</f>
        <v>0</v>
      </c>
      <c r="F81" s="1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5" t="s">
        <v>218</v>
      </c>
      <c r="C82" s="26"/>
      <c r="D82" s="86" t="s">
        <v>219</v>
      </c>
      <c r="E82" s="87">
        <v>51394.1</v>
      </c>
      <c r="F82" s="25" t="s">
        <v>28</v>
      </c>
      <c r="G82" s="30" t="s">
        <v>22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5"/>
      <c r="C83" s="89"/>
      <c r="D83" s="25"/>
      <c r="E83" s="28">
        <f>E82-4235.4</f>
        <v>47158.7</v>
      </c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5"/>
      <c r="C84" s="89"/>
      <c r="D84" s="25"/>
      <c r="E84" s="28">
        <f>E83-4413.67</f>
        <v>42745.03</v>
      </c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5"/>
      <c r="C85" s="89"/>
      <c r="D85" s="25"/>
      <c r="E85" s="28">
        <f>E84-2943.09</f>
        <v>39801.94</v>
      </c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5"/>
      <c r="C86" s="91">
        <v>42783.0</v>
      </c>
      <c r="D86" s="92">
        <v>511.0</v>
      </c>
      <c r="E86" s="28">
        <f>E85-4383.38</f>
        <v>35418.56</v>
      </c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93"/>
      <c r="B87" s="25" t="s">
        <v>218</v>
      </c>
      <c r="C87" s="94"/>
      <c r="D87" s="86" t="s">
        <v>242</v>
      </c>
      <c r="E87" s="87">
        <v>3814.0</v>
      </c>
      <c r="F87" s="25" t="s">
        <v>243</v>
      </c>
      <c r="G87" s="30" t="s">
        <v>22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93"/>
      <c r="B88" s="95"/>
      <c r="C88" s="94"/>
      <c r="D88" s="86"/>
      <c r="E88" s="87">
        <f>E87-1638</f>
        <v>2176</v>
      </c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93"/>
      <c r="B89" s="95"/>
      <c r="C89" s="94"/>
      <c r="D89" s="86"/>
      <c r="E89" s="87">
        <f>E88-1260</f>
        <v>916</v>
      </c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96"/>
      <c r="B90" s="25" t="s">
        <v>218</v>
      </c>
      <c r="C90" s="25"/>
      <c r="D90" s="86" t="s">
        <v>264</v>
      </c>
      <c r="E90" s="87">
        <v>163265.96</v>
      </c>
      <c r="F90" s="25" t="s">
        <v>232</v>
      </c>
      <c r="G90" s="30" t="s">
        <v>22</v>
      </c>
      <c r="H90" s="97"/>
      <c r="I90" s="96"/>
      <c r="J90" s="97"/>
      <c r="K90" s="96"/>
      <c r="L90" s="97"/>
      <c r="M90" s="96"/>
      <c r="N90" s="97"/>
      <c r="O90" s="96"/>
      <c r="P90" s="97"/>
      <c r="Q90" s="96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96"/>
      <c r="B91" s="25" t="s">
        <v>218</v>
      </c>
      <c r="C91" s="25"/>
      <c r="D91" s="86" t="s">
        <v>265</v>
      </c>
      <c r="E91" s="87">
        <v>252262.5</v>
      </c>
      <c r="F91" s="25" t="s">
        <v>232</v>
      </c>
      <c r="G91" s="30" t="s">
        <v>22</v>
      </c>
      <c r="H91" s="97"/>
      <c r="I91" s="96"/>
      <c r="J91" s="97"/>
      <c r="K91" s="96"/>
      <c r="L91" s="97"/>
      <c r="M91" s="96"/>
      <c r="N91" s="97"/>
      <c r="O91" s="96"/>
      <c r="P91" s="97"/>
      <c r="Q91" s="96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96"/>
      <c r="B92" s="98"/>
      <c r="C92" s="25"/>
      <c r="D92" s="86"/>
      <c r="E92" s="87">
        <f>SUM(E90:E91)</f>
        <v>415528.46</v>
      </c>
      <c r="F92" s="98"/>
      <c r="G92" s="96"/>
      <c r="H92" s="97"/>
      <c r="I92" s="96"/>
      <c r="J92" s="97"/>
      <c r="K92" s="96"/>
      <c r="L92" s="97"/>
      <c r="M92" s="96"/>
      <c r="N92" s="97"/>
      <c r="O92" s="96"/>
      <c r="P92" s="97"/>
      <c r="Q92" s="96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96"/>
      <c r="B93" s="98"/>
      <c r="C93" s="25"/>
      <c r="D93" s="86"/>
      <c r="E93" s="87">
        <f>E92-6685.2</f>
        <v>408843.26</v>
      </c>
      <c r="F93" s="98"/>
      <c r="G93" s="96"/>
      <c r="H93" s="97"/>
      <c r="I93" s="96"/>
      <c r="J93" s="97"/>
      <c r="K93" s="96"/>
      <c r="L93" s="97"/>
      <c r="M93" s="96"/>
      <c r="N93" s="97"/>
      <c r="O93" s="96"/>
      <c r="P93" s="97"/>
      <c r="Q93" s="96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96"/>
      <c r="B94" s="98"/>
      <c r="C94" s="25"/>
      <c r="D94" s="86"/>
      <c r="E94" s="87">
        <f>E93-10346.8</f>
        <v>398496.46</v>
      </c>
      <c r="F94" s="98"/>
      <c r="G94" s="96"/>
      <c r="H94" s="97"/>
      <c r="I94" s="96"/>
      <c r="J94" s="97"/>
      <c r="K94" s="96"/>
      <c r="L94" s="97"/>
      <c r="M94" s="96"/>
      <c r="N94" s="97"/>
      <c r="O94" s="96"/>
      <c r="P94" s="97"/>
      <c r="Q94" s="96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96"/>
      <c r="B95" s="98"/>
      <c r="C95" s="25"/>
      <c r="D95" s="86"/>
      <c r="E95" s="87">
        <f>E94-798</f>
        <v>397698.46</v>
      </c>
      <c r="F95" s="98"/>
      <c r="G95" s="96"/>
      <c r="H95" s="97"/>
      <c r="I95" s="96"/>
      <c r="J95" s="97"/>
      <c r="K95" s="96"/>
      <c r="L95" s="97"/>
      <c r="M95" s="96"/>
      <c r="N95" s="97"/>
      <c r="O95" s="96"/>
      <c r="P95" s="97"/>
      <c r="Q95" s="96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96"/>
      <c r="B96" s="98"/>
      <c r="C96" s="105">
        <v>42800.0</v>
      </c>
      <c r="D96" s="86">
        <v>513.0</v>
      </c>
      <c r="E96" s="87">
        <f>E95-1894.4</f>
        <v>395804.06</v>
      </c>
      <c r="F96" s="98"/>
      <c r="G96" s="96"/>
      <c r="H96" s="97"/>
      <c r="I96" s="96"/>
      <c r="J96" s="97"/>
      <c r="K96" s="96"/>
      <c r="L96" s="97"/>
      <c r="M96" s="96"/>
      <c r="N96" s="97"/>
      <c r="O96" s="96"/>
      <c r="P96" s="97"/>
      <c r="Q96" s="96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5" t="s">
        <v>280</v>
      </c>
      <c r="C97" s="26">
        <v>41981.0</v>
      </c>
      <c r="D97" s="25" t="s">
        <v>281</v>
      </c>
      <c r="E97" s="28">
        <v>27797.0</v>
      </c>
      <c r="F97" s="25" t="s">
        <v>282</v>
      </c>
      <c r="G97" s="30" t="s">
        <v>22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5"/>
      <c r="C98" s="26">
        <v>41981.0</v>
      </c>
      <c r="D98" s="25" t="s">
        <v>283</v>
      </c>
      <c r="E98" s="28">
        <v>29256.0</v>
      </c>
      <c r="F98" s="25" t="s">
        <v>284</v>
      </c>
      <c r="G98" s="30" t="s">
        <v>22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5"/>
      <c r="D99" s="1"/>
      <c r="E99" s="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2" t="s">
        <v>285</v>
      </c>
      <c r="C100" s="13">
        <v>41990.0</v>
      </c>
      <c r="D100" s="12" t="s">
        <v>286</v>
      </c>
      <c r="E100" s="14">
        <v>47396.06</v>
      </c>
      <c r="F100" s="12" t="s">
        <v>203</v>
      </c>
      <c r="G100" s="19" t="s">
        <v>13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2"/>
      <c r="C101" s="39">
        <v>42835.0</v>
      </c>
      <c r="D101" s="40">
        <v>4609.0</v>
      </c>
      <c r="E101" s="14">
        <f>E100-20998.7</f>
        <v>26397.36</v>
      </c>
      <c r="F101" s="1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36">
        <v>42864.0</v>
      </c>
      <c r="C102" s="39">
        <v>42874.0</v>
      </c>
      <c r="D102" s="40">
        <v>4629.0</v>
      </c>
      <c r="E102" s="14">
        <f>E101-26000.65</f>
        <v>396.71</v>
      </c>
      <c r="F102" s="1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36">
        <v>42906.0</v>
      </c>
      <c r="C103" s="39">
        <v>42920.0</v>
      </c>
      <c r="D103" s="40">
        <v>4657.0</v>
      </c>
      <c r="E103" s="14">
        <f>E102-396.71</f>
        <v>0</v>
      </c>
      <c r="F103" s="1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5" t="s">
        <v>287</v>
      </c>
      <c r="C104" s="26">
        <v>41821.0</v>
      </c>
      <c r="D104" s="25" t="s">
        <v>288</v>
      </c>
      <c r="E104" s="28">
        <v>87862.43</v>
      </c>
      <c r="F104" s="25" t="s">
        <v>289</v>
      </c>
      <c r="G104" s="30" t="s">
        <v>22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5"/>
      <c r="D105" s="1"/>
      <c r="E105" s="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5"/>
      <c r="D106" s="1"/>
      <c r="E106" s="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2"/>
      <c r="B107" s="12" t="s">
        <v>290</v>
      </c>
      <c r="C107" s="13">
        <v>41990.0</v>
      </c>
      <c r="D107" s="12" t="s">
        <v>291</v>
      </c>
      <c r="E107" s="14">
        <v>99664.64</v>
      </c>
      <c r="F107" s="12" t="s">
        <v>223</v>
      </c>
      <c r="G107" s="12" t="s">
        <v>13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2.75" customHeight="1">
      <c r="A108" s="12"/>
      <c r="B108" s="12"/>
      <c r="C108" s="13"/>
      <c r="D108" s="12"/>
      <c r="E108" s="14">
        <f>E107-7072.89</f>
        <v>92591.75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2.75" customHeight="1">
      <c r="A109" s="12"/>
      <c r="B109" s="12"/>
      <c r="C109" s="13"/>
      <c r="D109" s="12"/>
      <c r="E109" s="14">
        <f>E108-5405.03</f>
        <v>87186.72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2.75" customHeight="1">
      <c r="A110" s="12"/>
      <c r="B110" s="12"/>
      <c r="C110" s="13"/>
      <c r="D110" s="12"/>
      <c r="E110" s="14">
        <f>E109-6515.84</f>
        <v>80670.88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2.75" customHeight="1">
      <c r="A111" s="12"/>
      <c r="B111" s="12"/>
      <c r="C111" s="39">
        <v>42782.0</v>
      </c>
      <c r="D111" s="40">
        <v>2624.0</v>
      </c>
      <c r="E111" s="14">
        <f>E110-9988.75</f>
        <v>70682.13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2.75" customHeight="1">
      <c r="A112" s="12"/>
      <c r="B112" s="12"/>
      <c r="C112" s="39">
        <v>42807.0</v>
      </c>
      <c r="D112" s="40">
        <v>2636.0</v>
      </c>
      <c r="E112" s="14">
        <f>E111-13732.81</f>
        <v>56949.32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2.75" customHeight="1">
      <c r="A113" s="12"/>
      <c r="B113" s="12"/>
      <c r="C113" s="39">
        <v>42849.0</v>
      </c>
      <c r="D113" s="40">
        <v>2661.0</v>
      </c>
      <c r="E113" s="14">
        <f>E112-11705.4</f>
        <v>45243.92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2.75" customHeight="1">
      <c r="A114" s="12"/>
      <c r="B114" s="36">
        <v>42865.0</v>
      </c>
      <c r="C114" s="39">
        <v>42874.0</v>
      </c>
      <c r="D114" s="40">
        <v>2675.0</v>
      </c>
      <c r="E114" s="14">
        <f>E113-11085.45</f>
        <v>34158.47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2.75" customHeight="1">
      <c r="A115" s="12"/>
      <c r="B115" s="36">
        <v>42907.0</v>
      </c>
      <c r="C115" s="39">
        <v>42920.0</v>
      </c>
      <c r="D115" s="40">
        <v>2696.0</v>
      </c>
      <c r="E115" s="14">
        <v>13882.62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2.75" customHeight="1">
      <c r="A116" s="12"/>
      <c r="B116" s="36">
        <v>42933.0</v>
      </c>
      <c r="C116" s="39">
        <v>42948.0</v>
      </c>
      <c r="D116" s="40">
        <v>2726.0</v>
      </c>
      <c r="E116" s="14">
        <f>E115-11808.47</f>
        <v>2074.15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2.75" customHeight="1">
      <c r="A117" s="12"/>
      <c r="B117" s="36">
        <v>42998.0</v>
      </c>
      <c r="C117" s="39">
        <v>43000.0</v>
      </c>
      <c r="D117" s="40">
        <v>2771.0</v>
      </c>
      <c r="E117" s="14">
        <f>E116-E116</f>
        <v>0</v>
      </c>
      <c r="F117" s="12" t="s">
        <v>292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2.75" customHeight="1">
      <c r="A118" s="1"/>
      <c r="B118" s="25" t="s">
        <v>293</v>
      </c>
      <c r="C118" s="26">
        <v>41864.0</v>
      </c>
      <c r="D118" s="25" t="s">
        <v>294</v>
      </c>
      <c r="E118" s="28">
        <v>240834.0</v>
      </c>
      <c r="F118" s="25" t="s">
        <v>295</v>
      </c>
      <c r="G118" s="30" t="s">
        <v>22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5"/>
      <c r="D119" s="1"/>
      <c r="E119" s="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5" t="s">
        <v>296</v>
      </c>
      <c r="C120" s="26">
        <v>41981.0</v>
      </c>
      <c r="D120" s="25" t="s">
        <v>297</v>
      </c>
      <c r="E120" s="28">
        <v>165446.4</v>
      </c>
      <c r="F120" s="25" t="s">
        <v>298</v>
      </c>
      <c r="G120" s="30" t="s">
        <v>22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5"/>
      <c r="D121" s="1"/>
      <c r="E121" s="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5" t="s">
        <v>299</v>
      </c>
      <c r="C122" s="26">
        <v>41968.0</v>
      </c>
      <c r="D122" s="25" t="s">
        <v>300</v>
      </c>
      <c r="E122" s="28">
        <v>10089.25</v>
      </c>
      <c r="F122" s="25" t="s">
        <v>301</v>
      </c>
      <c r="G122" s="30" t="s">
        <v>22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5"/>
      <c r="D123" s="1"/>
      <c r="E123" s="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5" t="s">
        <v>302</v>
      </c>
      <c r="C124" s="26">
        <v>41821.0</v>
      </c>
      <c r="D124" s="25" t="s">
        <v>303</v>
      </c>
      <c r="E124" s="28">
        <v>45000.0</v>
      </c>
      <c r="F124" s="25" t="s">
        <v>304</v>
      </c>
      <c r="G124" s="30" t="s">
        <v>22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5"/>
      <c r="D125" s="1"/>
      <c r="E125" s="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2" t="s">
        <v>305</v>
      </c>
      <c r="C126" s="13">
        <v>41987.0</v>
      </c>
      <c r="D126" s="12" t="s">
        <v>306</v>
      </c>
      <c r="E126" s="14">
        <v>336.0</v>
      </c>
      <c r="F126" s="12" t="s">
        <v>243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2"/>
      <c r="C127" s="72"/>
      <c r="D127" s="12"/>
      <c r="E127" s="37">
        <f>E126-336</f>
        <v>0</v>
      </c>
      <c r="F127" s="1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2"/>
      <c r="B128" s="12" t="s">
        <v>307</v>
      </c>
      <c r="C128" s="13">
        <v>41990.0</v>
      </c>
      <c r="D128" s="12" t="s">
        <v>308</v>
      </c>
      <c r="E128" s="37">
        <v>23432.62</v>
      </c>
      <c r="F128" s="12" t="s">
        <v>309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2.75" customHeight="1">
      <c r="A129" s="12"/>
      <c r="B129" s="12"/>
      <c r="C129" s="72"/>
      <c r="D129" s="12"/>
      <c r="E129" s="37">
        <f>E128-2657.42</f>
        <v>20775.2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2.75" customHeight="1">
      <c r="A130" s="12"/>
      <c r="B130" s="12"/>
      <c r="C130" s="39">
        <v>42781.0</v>
      </c>
      <c r="D130" s="40">
        <v>107244.0</v>
      </c>
      <c r="E130" s="37">
        <f>E129-2310.8</f>
        <v>18464.4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2.75" customHeight="1">
      <c r="A131" s="12"/>
      <c r="B131" s="12"/>
      <c r="C131" s="39">
        <v>42808.0</v>
      </c>
      <c r="D131" s="40">
        <v>108677.0</v>
      </c>
      <c r="E131" s="37">
        <f>E130-2253.03</f>
        <v>16211.37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2.75" customHeight="1">
      <c r="A132" s="12"/>
      <c r="B132" s="12"/>
      <c r="C132" s="39">
        <v>42832.0</v>
      </c>
      <c r="D132" s="40">
        <v>108897.0</v>
      </c>
      <c r="E132" s="37">
        <f>E131-2541.88</f>
        <v>13669.49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2.75" customHeight="1">
      <c r="A133" s="12"/>
      <c r="B133" s="36">
        <v>42873.0</v>
      </c>
      <c r="C133" s="39">
        <v>42874.0</v>
      </c>
      <c r="D133" s="40">
        <v>111588.0</v>
      </c>
      <c r="E133" s="37">
        <f>E132-2426.34</f>
        <v>11243.15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2.75" customHeight="1">
      <c r="A134" s="12"/>
      <c r="B134" s="36">
        <v>42905.0</v>
      </c>
      <c r="C134" s="39">
        <v>42907.0</v>
      </c>
      <c r="D134" s="40">
        <v>113077.0</v>
      </c>
      <c r="E134" s="37">
        <f>E133-2599.65</f>
        <v>8643.5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2.75" customHeight="1">
      <c r="A135" s="12"/>
      <c r="B135" s="36">
        <v>42928.0</v>
      </c>
      <c r="C135" s="39">
        <v>42944.0</v>
      </c>
      <c r="D135" s="40">
        <v>114455.0</v>
      </c>
      <c r="E135" s="37">
        <f>E134-2426.34</f>
        <v>6217.16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2.75" customHeight="1">
      <c r="A136" s="12"/>
      <c r="B136" s="36">
        <v>42958.0</v>
      </c>
      <c r="C136" s="39">
        <v>42965.0</v>
      </c>
      <c r="D136" s="40">
        <v>115917.0</v>
      </c>
      <c r="E136" s="37">
        <f>E135-2310.8</f>
        <v>3906.36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2.75" customHeight="1">
      <c r="A137" s="12"/>
      <c r="B137" s="36">
        <v>42991.0</v>
      </c>
      <c r="C137" s="39">
        <v>42996.0</v>
      </c>
      <c r="D137" s="40">
        <v>117375.0</v>
      </c>
      <c r="E137" s="37">
        <f>E136-2638.44</f>
        <v>1267.92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2.75" customHeight="1">
      <c r="A138" s="12"/>
      <c r="B138" s="36">
        <v>43014.0</v>
      </c>
      <c r="C138" s="39">
        <v>43019.0</v>
      </c>
      <c r="D138" s="40">
        <v>117620.0</v>
      </c>
      <c r="E138" s="37">
        <f>E137-E137</f>
        <v>0</v>
      </c>
      <c r="F138" s="12" t="s">
        <v>409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2.75" customHeight="1">
      <c r="A139" s="1"/>
      <c r="B139" s="12" t="s">
        <v>473</v>
      </c>
      <c r="C139" s="70">
        <v>41990.0</v>
      </c>
      <c r="D139" s="12" t="s">
        <v>474</v>
      </c>
      <c r="E139" s="37">
        <v>7931.37</v>
      </c>
      <c r="F139" s="12" t="s">
        <v>450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2"/>
      <c r="C140" s="39">
        <v>42802.0</v>
      </c>
      <c r="D140" s="40">
        <v>3336.0</v>
      </c>
      <c r="E140" s="37">
        <f>E139-3614.23</f>
        <v>4317.14</v>
      </c>
      <c r="F140" s="1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2"/>
      <c r="C141" s="39">
        <v>42843.0</v>
      </c>
      <c r="D141" s="40">
        <v>3470.0</v>
      </c>
      <c r="E141" s="37">
        <f>E140-3176.58</f>
        <v>1140.56</v>
      </c>
      <c r="F141" s="1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36">
        <v>42866.0</v>
      </c>
      <c r="C142" s="39">
        <v>42874.0</v>
      </c>
      <c r="D142" s="40">
        <v>3538.0</v>
      </c>
      <c r="E142" s="37">
        <f>E141-1140.56</f>
        <v>0</v>
      </c>
      <c r="F142" s="1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6" t="s">
        <v>466</v>
      </c>
      <c r="C143" s="17">
        <v>41821.0</v>
      </c>
      <c r="D143" s="16" t="s">
        <v>475</v>
      </c>
      <c r="E143" s="63">
        <v>209703.84</v>
      </c>
      <c r="F143" s="16" t="s">
        <v>476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06">
        <v>42843.0</v>
      </c>
      <c r="D144" s="132">
        <v>14634.0</v>
      </c>
      <c r="E144" s="64">
        <f>E143-28327.23</f>
        <v>181376.61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06">
        <v>42843.0</v>
      </c>
      <c r="D145" s="132">
        <v>14727.0</v>
      </c>
      <c r="E145" s="64">
        <f>E144-35972.44</f>
        <v>145404.17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81">
        <v>42865.0</v>
      </c>
      <c r="C146" s="82">
        <v>42886.0</v>
      </c>
      <c r="D146" s="83">
        <v>14791.0</v>
      </c>
      <c r="E146" s="64">
        <f>E145-32968</f>
        <v>112436.17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81">
        <v>42898.0</v>
      </c>
      <c r="C147" s="82">
        <v>42920.0</v>
      </c>
      <c r="D147" s="83">
        <v>14890.0</v>
      </c>
      <c r="E147" s="64">
        <f>E146-31830.1</f>
        <v>80606.07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81">
        <v>42921.0</v>
      </c>
      <c r="C148" s="82">
        <v>42927.0</v>
      </c>
      <c r="D148" s="83">
        <v>14965.0</v>
      </c>
      <c r="E148" s="64">
        <f>E147-30779.94</f>
        <v>49826.13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81">
        <v>42961.0</v>
      </c>
      <c r="C149" s="82">
        <v>43028.0</v>
      </c>
      <c r="D149" s="83">
        <v>15068.0</v>
      </c>
      <c r="E149" s="64">
        <f>E148-39641.44</f>
        <v>10184.69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67"/>
      <c r="B150" s="25" t="s">
        <v>477</v>
      </c>
      <c r="C150" s="26">
        <v>41981.0</v>
      </c>
      <c r="D150" s="25" t="s">
        <v>478</v>
      </c>
      <c r="E150" s="28">
        <v>256830.0</v>
      </c>
      <c r="F150" s="25" t="s">
        <v>479</v>
      </c>
      <c r="G150" s="30" t="s">
        <v>22</v>
      </c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2.75" customHeight="1">
      <c r="A151" s="67"/>
      <c r="B151" s="25"/>
      <c r="C151" s="26">
        <v>41990.0</v>
      </c>
      <c r="D151" s="25" t="s">
        <v>480</v>
      </c>
      <c r="E151" s="28">
        <v>262950.0</v>
      </c>
      <c r="F151" s="25" t="s">
        <v>481</v>
      </c>
      <c r="G151" s="30" t="s">
        <v>22</v>
      </c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2.75" customHeight="1">
      <c r="A152" s="1"/>
      <c r="B152" s="1"/>
      <c r="C152" s="5"/>
      <c r="D152" s="1"/>
      <c r="E152" s="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33"/>
      <c r="E153" s="13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5"/>
      <c r="D154" s="1"/>
      <c r="E154" s="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5"/>
      <c r="D155" s="1"/>
      <c r="E155" s="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5"/>
      <c r="D156" s="1"/>
      <c r="E156" s="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5"/>
      <c r="D157" s="1"/>
      <c r="E157" s="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5"/>
      <c r="D158" s="1"/>
      <c r="E158" s="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5"/>
      <c r="D159" s="1"/>
      <c r="E159" s="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5"/>
      <c r="D160" s="1"/>
      <c r="E160" s="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5"/>
      <c r="D161" s="1"/>
      <c r="E161" s="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5"/>
      <c r="D162" s="1"/>
      <c r="E162" s="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5"/>
      <c r="D163" s="1"/>
      <c r="E163" s="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5"/>
      <c r="D164" s="1"/>
      <c r="E164" s="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5"/>
      <c r="D165" s="1"/>
      <c r="E165" s="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5"/>
      <c r="D166" s="1"/>
      <c r="E166" s="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5"/>
      <c r="D167" s="1"/>
      <c r="E167" s="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5"/>
      <c r="D168" s="1"/>
      <c r="E168" s="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5"/>
      <c r="D169" s="1"/>
      <c r="E169" s="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5"/>
      <c r="D170" s="1"/>
      <c r="E170" s="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5"/>
      <c r="D171" s="1"/>
      <c r="E171" s="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5"/>
      <c r="D172" s="1"/>
      <c r="E172" s="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5"/>
      <c r="D173" s="1"/>
      <c r="E173" s="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5"/>
      <c r="D174" s="1"/>
      <c r="E174" s="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5"/>
      <c r="D175" s="1"/>
      <c r="E175" s="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5"/>
      <c r="D176" s="1"/>
      <c r="E176" s="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5"/>
      <c r="D177" s="1"/>
      <c r="E177" s="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5"/>
      <c r="D178" s="1"/>
      <c r="E178" s="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5"/>
      <c r="D179" s="1"/>
      <c r="E179" s="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5"/>
      <c r="D180" s="1"/>
      <c r="E180" s="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5"/>
      <c r="D181" s="1"/>
      <c r="E181" s="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5"/>
      <c r="D182" s="1"/>
      <c r="E182" s="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5"/>
      <c r="D183" s="1"/>
      <c r="E183" s="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5"/>
      <c r="D184" s="1"/>
      <c r="E184" s="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5"/>
      <c r="D185" s="1"/>
      <c r="E185" s="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5"/>
      <c r="D186" s="1"/>
      <c r="E186" s="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5"/>
      <c r="D187" s="1"/>
      <c r="E187" s="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5"/>
      <c r="D188" s="1"/>
      <c r="E188" s="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5"/>
      <c r="D189" s="1"/>
      <c r="E189" s="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5"/>
      <c r="D190" s="1"/>
      <c r="E190" s="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5"/>
      <c r="D191" s="1"/>
      <c r="E191" s="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5"/>
      <c r="D192" s="1"/>
      <c r="E192" s="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5"/>
      <c r="D193" s="1"/>
      <c r="E193" s="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5"/>
      <c r="D194" s="1"/>
      <c r="E194" s="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5"/>
      <c r="D195" s="1"/>
      <c r="E195" s="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5"/>
      <c r="D196" s="1"/>
      <c r="E196" s="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5"/>
      <c r="D197" s="1"/>
      <c r="E197" s="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5"/>
      <c r="D198" s="1"/>
      <c r="E198" s="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5"/>
      <c r="D199" s="1"/>
      <c r="E199" s="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5"/>
      <c r="D200" s="1"/>
      <c r="E200" s="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5"/>
      <c r="D201" s="1"/>
      <c r="E201" s="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5"/>
      <c r="D202" s="1"/>
      <c r="E202" s="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5"/>
      <c r="D203" s="1"/>
      <c r="E203" s="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5"/>
      <c r="D204" s="1"/>
      <c r="E204" s="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5"/>
      <c r="D205" s="1"/>
      <c r="E205" s="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5"/>
      <c r="D206" s="1"/>
      <c r="E206" s="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5"/>
      <c r="D207" s="1"/>
      <c r="E207" s="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5"/>
      <c r="D208" s="1"/>
      <c r="E208" s="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5"/>
      <c r="D209" s="1"/>
      <c r="E209" s="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5"/>
      <c r="D210" s="1"/>
      <c r="E210" s="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5"/>
      <c r="D211" s="1"/>
      <c r="E211" s="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5"/>
      <c r="D212" s="1"/>
      <c r="E212" s="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5"/>
      <c r="D213" s="1"/>
      <c r="E213" s="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5"/>
      <c r="D214" s="1"/>
      <c r="E214" s="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5"/>
      <c r="D215" s="1"/>
      <c r="E215" s="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5"/>
      <c r="D216" s="1"/>
      <c r="E216" s="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5"/>
      <c r="D217" s="1"/>
      <c r="E217" s="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5"/>
      <c r="D218" s="1"/>
      <c r="E218" s="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5"/>
      <c r="D219" s="1"/>
      <c r="E219" s="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5"/>
      <c r="D220" s="1"/>
      <c r="E220" s="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5"/>
      <c r="D221" s="1"/>
      <c r="E221" s="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5"/>
      <c r="D222" s="1"/>
      <c r="E222" s="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5"/>
      <c r="D223" s="1"/>
      <c r="E223" s="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5"/>
      <c r="D224" s="1"/>
      <c r="E224" s="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5"/>
      <c r="D225" s="1"/>
      <c r="E225" s="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5"/>
      <c r="D226" s="1"/>
      <c r="E226" s="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5"/>
      <c r="D227" s="1"/>
      <c r="E227" s="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5"/>
      <c r="D228" s="1"/>
      <c r="E228" s="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5"/>
      <c r="D229" s="1"/>
      <c r="E229" s="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5"/>
      <c r="D230" s="1"/>
      <c r="E230" s="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5"/>
      <c r="D231" s="1"/>
      <c r="E231" s="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5"/>
      <c r="D232" s="1"/>
      <c r="E232" s="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5"/>
      <c r="D233" s="1"/>
      <c r="E233" s="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5"/>
      <c r="D234" s="1"/>
      <c r="E234" s="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5"/>
      <c r="D235" s="1"/>
      <c r="E235" s="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5"/>
      <c r="D236" s="1"/>
      <c r="E236" s="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5"/>
      <c r="D237" s="1"/>
      <c r="E237" s="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5"/>
      <c r="D238" s="1"/>
      <c r="E238" s="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5"/>
      <c r="D239" s="1"/>
      <c r="E239" s="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5"/>
      <c r="D240" s="1"/>
      <c r="E240" s="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5"/>
      <c r="D241" s="1"/>
      <c r="E241" s="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5"/>
      <c r="D242" s="1"/>
      <c r="E242" s="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5"/>
      <c r="D243" s="1"/>
      <c r="E243" s="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5"/>
      <c r="D244" s="1"/>
      <c r="E244" s="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5"/>
      <c r="D245" s="1"/>
      <c r="E245" s="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5"/>
      <c r="D246" s="1"/>
      <c r="E246" s="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5"/>
      <c r="D247" s="1"/>
      <c r="E247" s="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5"/>
      <c r="D248" s="1"/>
      <c r="E248" s="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5"/>
      <c r="D249" s="1"/>
      <c r="E249" s="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5"/>
      <c r="D250" s="1"/>
      <c r="E250" s="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5"/>
      <c r="D251" s="1"/>
      <c r="E251" s="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5"/>
      <c r="D252" s="1"/>
      <c r="E252" s="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5"/>
      <c r="D253" s="1"/>
      <c r="E253" s="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5"/>
      <c r="D254" s="1"/>
      <c r="E254" s="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5"/>
      <c r="D255" s="1"/>
      <c r="E255" s="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5"/>
      <c r="D256" s="1"/>
      <c r="E256" s="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5"/>
      <c r="D257" s="1"/>
      <c r="E257" s="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5"/>
      <c r="D258" s="1"/>
      <c r="E258" s="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5"/>
      <c r="D259" s="1"/>
      <c r="E259" s="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5"/>
      <c r="D260" s="1"/>
      <c r="E260" s="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5"/>
      <c r="D261" s="1"/>
      <c r="E261" s="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5"/>
      <c r="D262" s="1"/>
      <c r="E262" s="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5"/>
      <c r="D263" s="1"/>
      <c r="E263" s="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5"/>
      <c r="D264" s="1"/>
      <c r="E264" s="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5"/>
      <c r="D265" s="1"/>
      <c r="E265" s="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5"/>
      <c r="D266" s="1"/>
      <c r="E266" s="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5"/>
      <c r="D267" s="1"/>
      <c r="E267" s="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5"/>
      <c r="D268" s="1"/>
      <c r="E268" s="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5"/>
      <c r="D269" s="1"/>
      <c r="E269" s="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5"/>
      <c r="D270" s="1"/>
      <c r="E270" s="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5"/>
      <c r="D271" s="1"/>
      <c r="E271" s="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5"/>
      <c r="D272" s="1"/>
      <c r="E272" s="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5"/>
      <c r="D273" s="1"/>
      <c r="E273" s="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5"/>
      <c r="D274" s="1"/>
      <c r="E274" s="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5"/>
      <c r="D275" s="1"/>
      <c r="E275" s="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5"/>
      <c r="D276" s="1"/>
      <c r="E276" s="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5"/>
      <c r="D277" s="1"/>
      <c r="E277" s="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5"/>
      <c r="D278" s="1"/>
      <c r="E278" s="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5"/>
      <c r="D279" s="1"/>
      <c r="E279" s="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5"/>
      <c r="D280" s="1"/>
      <c r="E280" s="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5"/>
      <c r="D281" s="1"/>
      <c r="E281" s="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5"/>
      <c r="D282" s="1"/>
      <c r="E282" s="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5"/>
      <c r="D283" s="1"/>
      <c r="E283" s="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5"/>
      <c r="D284" s="1"/>
      <c r="E284" s="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5"/>
      <c r="D285" s="1"/>
      <c r="E285" s="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5"/>
      <c r="D286" s="1"/>
      <c r="E286" s="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5"/>
      <c r="D287" s="1"/>
      <c r="E287" s="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5"/>
      <c r="D288" s="1"/>
      <c r="E288" s="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5"/>
      <c r="D289" s="1"/>
      <c r="E289" s="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5"/>
      <c r="D290" s="1"/>
      <c r="E290" s="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5"/>
      <c r="D291" s="1"/>
      <c r="E291" s="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5"/>
      <c r="D292" s="1"/>
      <c r="E292" s="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5"/>
      <c r="D293" s="1"/>
      <c r="E293" s="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5"/>
      <c r="D294" s="1"/>
      <c r="E294" s="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5"/>
      <c r="D295" s="1"/>
      <c r="E295" s="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5"/>
      <c r="D296" s="1"/>
      <c r="E296" s="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5"/>
      <c r="D297" s="1"/>
      <c r="E297" s="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5"/>
      <c r="D298" s="1"/>
      <c r="E298" s="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5"/>
      <c r="D299" s="1"/>
      <c r="E299" s="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5"/>
      <c r="D300" s="1"/>
      <c r="E300" s="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5"/>
      <c r="D301" s="1"/>
      <c r="E301" s="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5"/>
      <c r="D302" s="1"/>
      <c r="E302" s="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5"/>
      <c r="D303" s="1"/>
      <c r="E303" s="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5"/>
      <c r="D304" s="1"/>
      <c r="E304" s="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5"/>
      <c r="D305" s="1"/>
      <c r="E305" s="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5"/>
      <c r="D306" s="1"/>
      <c r="E306" s="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5"/>
      <c r="D307" s="1"/>
      <c r="E307" s="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5"/>
      <c r="D308" s="1"/>
      <c r="E308" s="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5"/>
      <c r="D309" s="1"/>
      <c r="E309" s="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5"/>
      <c r="D310" s="1"/>
      <c r="E310" s="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5"/>
      <c r="D311" s="1"/>
      <c r="E311" s="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5"/>
      <c r="D312" s="1"/>
      <c r="E312" s="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5"/>
      <c r="D313" s="1"/>
      <c r="E313" s="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5"/>
      <c r="D314" s="1"/>
      <c r="E314" s="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5"/>
      <c r="D315" s="1"/>
      <c r="E315" s="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5"/>
      <c r="D316" s="1"/>
      <c r="E316" s="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5"/>
      <c r="D317" s="1"/>
      <c r="E317" s="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5"/>
      <c r="D318" s="1"/>
      <c r="E318" s="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5"/>
      <c r="D319" s="1"/>
      <c r="E319" s="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5"/>
      <c r="D320" s="1"/>
      <c r="E320" s="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5"/>
      <c r="D321" s="1"/>
      <c r="E321" s="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5"/>
      <c r="D322" s="1"/>
      <c r="E322" s="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5"/>
      <c r="D323" s="1"/>
      <c r="E323" s="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5"/>
      <c r="D324" s="1"/>
      <c r="E324" s="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5"/>
      <c r="D325" s="1"/>
      <c r="E325" s="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5"/>
      <c r="D326" s="1"/>
      <c r="E326" s="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5"/>
      <c r="D327" s="1"/>
      <c r="E327" s="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5"/>
      <c r="D328" s="1"/>
      <c r="E328" s="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5"/>
      <c r="D329" s="1"/>
      <c r="E329" s="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5"/>
      <c r="D330" s="1"/>
      <c r="E330" s="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5"/>
      <c r="D331" s="1"/>
      <c r="E331" s="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5"/>
      <c r="D332" s="1"/>
      <c r="E332" s="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5"/>
      <c r="D333" s="1"/>
      <c r="E333" s="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5"/>
      <c r="D334" s="1"/>
      <c r="E334" s="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5"/>
      <c r="D335" s="1"/>
      <c r="E335" s="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5"/>
      <c r="D336" s="1"/>
      <c r="E336" s="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5"/>
      <c r="D337" s="1"/>
      <c r="E337" s="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5"/>
      <c r="D338" s="1"/>
      <c r="E338" s="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5"/>
      <c r="D339" s="1"/>
      <c r="E339" s="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5"/>
      <c r="D340" s="1"/>
      <c r="E340" s="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5"/>
      <c r="D341" s="1"/>
      <c r="E341" s="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5"/>
      <c r="D342" s="1"/>
      <c r="E342" s="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5"/>
      <c r="D343" s="1"/>
      <c r="E343" s="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5"/>
      <c r="D344" s="1"/>
      <c r="E344" s="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5"/>
      <c r="D345" s="1"/>
      <c r="E345" s="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5"/>
      <c r="D346" s="1"/>
      <c r="E346" s="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5"/>
      <c r="D347" s="1"/>
      <c r="E347" s="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5"/>
      <c r="D348" s="1"/>
      <c r="E348" s="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5"/>
      <c r="D349" s="1"/>
      <c r="E349" s="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5"/>
      <c r="D350" s="1"/>
      <c r="E350" s="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5"/>
      <c r="D351" s="1"/>
      <c r="E351" s="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5"/>
      <c r="D352" s="1"/>
      <c r="E352" s="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5"/>
      <c r="D353" s="1"/>
      <c r="E353" s="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5"/>
      <c r="D354" s="1"/>
      <c r="E354" s="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5"/>
      <c r="D355" s="1"/>
      <c r="E355" s="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5"/>
      <c r="D356" s="1"/>
      <c r="E356" s="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5"/>
      <c r="D357" s="1"/>
      <c r="E357" s="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5"/>
      <c r="D358" s="1"/>
      <c r="E358" s="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5"/>
      <c r="D359" s="1"/>
      <c r="E359" s="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5"/>
      <c r="D360" s="1"/>
      <c r="E360" s="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5"/>
      <c r="D361" s="1"/>
      <c r="E361" s="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5"/>
      <c r="D362" s="1"/>
      <c r="E362" s="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5"/>
      <c r="D363" s="1"/>
      <c r="E363" s="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5"/>
      <c r="D364" s="1"/>
      <c r="E364" s="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5"/>
      <c r="D365" s="1"/>
      <c r="E365" s="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5"/>
      <c r="D366" s="1"/>
      <c r="E366" s="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5"/>
      <c r="D367" s="1"/>
      <c r="E367" s="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5"/>
      <c r="D368" s="1"/>
      <c r="E368" s="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5"/>
      <c r="D369" s="1"/>
      <c r="E369" s="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5"/>
      <c r="D370" s="1"/>
      <c r="E370" s="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5"/>
      <c r="D371" s="1"/>
      <c r="E371" s="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5"/>
      <c r="D372" s="1"/>
      <c r="E372" s="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5"/>
      <c r="D373" s="1"/>
      <c r="E373" s="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5"/>
      <c r="D374" s="1"/>
      <c r="E374" s="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5"/>
      <c r="D375" s="1"/>
      <c r="E375" s="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5"/>
      <c r="D376" s="1"/>
      <c r="E376" s="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5"/>
      <c r="D377" s="1"/>
      <c r="E377" s="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5"/>
      <c r="D378" s="1"/>
      <c r="E378" s="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5"/>
      <c r="D379" s="1"/>
      <c r="E379" s="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5"/>
      <c r="D380" s="1"/>
      <c r="E380" s="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5"/>
      <c r="D381" s="1"/>
      <c r="E381" s="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5"/>
      <c r="D382" s="1"/>
      <c r="E382" s="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5"/>
      <c r="D383" s="1"/>
      <c r="E383" s="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5"/>
      <c r="D384" s="1"/>
      <c r="E384" s="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5"/>
      <c r="D385" s="1"/>
      <c r="E385" s="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5"/>
      <c r="D386" s="1"/>
      <c r="E386" s="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5"/>
      <c r="D387" s="1"/>
      <c r="E387" s="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5"/>
      <c r="D388" s="1"/>
      <c r="E388" s="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5"/>
      <c r="D389" s="1"/>
      <c r="E389" s="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5"/>
      <c r="D390" s="1"/>
      <c r="E390" s="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5"/>
      <c r="D391" s="1"/>
      <c r="E391" s="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5"/>
      <c r="D392" s="1"/>
      <c r="E392" s="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5"/>
      <c r="D393" s="1"/>
      <c r="E393" s="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5"/>
      <c r="D394" s="1"/>
      <c r="E394" s="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5"/>
      <c r="D395" s="1"/>
      <c r="E395" s="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5"/>
      <c r="D396" s="1"/>
      <c r="E396" s="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5"/>
      <c r="D397" s="1"/>
      <c r="E397" s="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5"/>
      <c r="D398" s="1"/>
      <c r="E398" s="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5"/>
      <c r="D399" s="1"/>
      <c r="E399" s="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5"/>
      <c r="D400" s="1"/>
      <c r="E400" s="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5"/>
      <c r="D401" s="1"/>
      <c r="E401" s="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5"/>
      <c r="D402" s="1"/>
      <c r="E402" s="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5"/>
      <c r="D403" s="1"/>
      <c r="E403" s="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5"/>
      <c r="D404" s="1"/>
      <c r="E404" s="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5"/>
      <c r="D405" s="1"/>
      <c r="E405" s="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5"/>
      <c r="D406" s="1"/>
      <c r="E406" s="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5"/>
      <c r="D407" s="1"/>
      <c r="E407" s="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5"/>
      <c r="D408" s="1"/>
      <c r="E408" s="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5"/>
      <c r="D409" s="1"/>
      <c r="E409" s="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5"/>
      <c r="D410" s="1"/>
      <c r="E410" s="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5"/>
      <c r="D411" s="1"/>
      <c r="E411" s="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5"/>
      <c r="D412" s="1"/>
      <c r="E412" s="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5"/>
      <c r="D413" s="1"/>
      <c r="E413" s="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5"/>
      <c r="D414" s="1"/>
      <c r="E414" s="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5"/>
      <c r="D415" s="1"/>
      <c r="E415" s="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5"/>
      <c r="D416" s="1"/>
      <c r="E416" s="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5"/>
      <c r="D417" s="1"/>
      <c r="E417" s="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5"/>
      <c r="D418" s="1"/>
      <c r="E418" s="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5"/>
      <c r="D419" s="1"/>
      <c r="E419" s="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5"/>
      <c r="D420" s="1"/>
      <c r="E420" s="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5"/>
      <c r="D421" s="1"/>
      <c r="E421" s="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5"/>
      <c r="D422" s="1"/>
      <c r="E422" s="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5"/>
      <c r="D423" s="1"/>
      <c r="E423" s="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5"/>
      <c r="D424" s="1"/>
      <c r="E424" s="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5"/>
      <c r="D425" s="1"/>
      <c r="E425" s="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5"/>
      <c r="D426" s="1"/>
      <c r="E426" s="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5"/>
      <c r="D427" s="1"/>
      <c r="E427" s="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5"/>
      <c r="D428" s="1"/>
      <c r="E428" s="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5"/>
      <c r="D429" s="1"/>
      <c r="E429" s="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5"/>
      <c r="D430" s="1"/>
      <c r="E430" s="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5"/>
      <c r="D431" s="1"/>
      <c r="E431" s="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5"/>
      <c r="D432" s="1"/>
      <c r="E432" s="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5"/>
      <c r="D433" s="1"/>
      <c r="E433" s="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5"/>
      <c r="D434" s="1"/>
      <c r="E434" s="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5"/>
      <c r="D435" s="1"/>
      <c r="E435" s="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5"/>
      <c r="D436" s="1"/>
      <c r="E436" s="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5"/>
      <c r="D437" s="1"/>
      <c r="E437" s="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5"/>
      <c r="D438" s="1"/>
      <c r="E438" s="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5"/>
      <c r="D439" s="1"/>
      <c r="E439" s="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5"/>
      <c r="D440" s="1"/>
      <c r="E440" s="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5"/>
      <c r="D441" s="1"/>
      <c r="E441" s="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5"/>
      <c r="D442" s="1"/>
      <c r="E442" s="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5"/>
      <c r="D443" s="1"/>
      <c r="E443" s="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5"/>
      <c r="D444" s="1"/>
      <c r="E444" s="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5"/>
      <c r="D445" s="1"/>
      <c r="E445" s="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5"/>
      <c r="D446" s="1"/>
      <c r="E446" s="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5"/>
      <c r="D447" s="1"/>
      <c r="E447" s="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5"/>
      <c r="D448" s="1"/>
      <c r="E448" s="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5"/>
      <c r="D449" s="1"/>
      <c r="E449" s="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5"/>
      <c r="D450" s="1"/>
      <c r="E450" s="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5"/>
      <c r="D451" s="1"/>
      <c r="E451" s="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5"/>
      <c r="D452" s="1"/>
      <c r="E452" s="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5"/>
      <c r="D453" s="1"/>
      <c r="E453" s="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5"/>
      <c r="D454" s="1"/>
      <c r="E454" s="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5"/>
      <c r="D455" s="1"/>
      <c r="E455" s="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5"/>
      <c r="D456" s="1"/>
      <c r="E456" s="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5"/>
      <c r="D457" s="1"/>
      <c r="E457" s="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5"/>
      <c r="D458" s="1"/>
      <c r="E458" s="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5"/>
      <c r="D459" s="1"/>
      <c r="E459" s="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5"/>
      <c r="D460" s="1"/>
      <c r="E460" s="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5"/>
      <c r="D461" s="1"/>
      <c r="E461" s="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5"/>
      <c r="D462" s="1"/>
      <c r="E462" s="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5"/>
      <c r="D463" s="1"/>
      <c r="E463" s="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5"/>
      <c r="D464" s="1"/>
      <c r="E464" s="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5"/>
      <c r="D465" s="1"/>
      <c r="E465" s="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5"/>
      <c r="D466" s="1"/>
      <c r="E466" s="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5"/>
      <c r="D467" s="1"/>
      <c r="E467" s="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5"/>
      <c r="D468" s="1"/>
      <c r="E468" s="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5"/>
      <c r="D469" s="1"/>
      <c r="E469" s="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5"/>
      <c r="D470" s="1"/>
      <c r="E470" s="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5"/>
      <c r="D471" s="1"/>
      <c r="E471" s="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5"/>
      <c r="D472" s="1"/>
      <c r="E472" s="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5"/>
      <c r="D473" s="1"/>
      <c r="E473" s="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5"/>
      <c r="D474" s="1"/>
      <c r="E474" s="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5"/>
      <c r="D475" s="1"/>
      <c r="E475" s="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5"/>
      <c r="D476" s="1"/>
      <c r="E476" s="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5"/>
      <c r="D477" s="1"/>
      <c r="E477" s="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5"/>
      <c r="D478" s="1"/>
      <c r="E478" s="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5"/>
      <c r="D479" s="1"/>
      <c r="E479" s="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5"/>
      <c r="D480" s="1"/>
      <c r="E480" s="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5"/>
      <c r="D481" s="1"/>
      <c r="E481" s="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5"/>
      <c r="D482" s="1"/>
      <c r="E482" s="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5"/>
      <c r="D483" s="1"/>
      <c r="E483" s="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5"/>
      <c r="D484" s="1"/>
      <c r="E484" s="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5"/>
      <c r="D485" s="1"/>
      <c r="E485" s="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5"/>
      <c r="D486" s="1"/>
      <c r="E486" s="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5"/>
      <c r="D487" s="1"/>
      <c r="E487" s="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5"/>
      <c r="D488" s="1"/>
      <c r="E488" s="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5"/>
      <c r="D489" s="1"/>
      <c r="E489" s="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5"/>
      <c r="D490" s="1"/>
      <c r="E490" s="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5"/>
      <c r="D491" s="1"/>
      <c r="E491" s="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5"/>
      <c r="D492" s="1"/>
      <c r="E492" s="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5"/>
      <c r="D493" s="1"/>
      <c r="E493" s="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5"/>
      <c r="D494" s="1"/>
      <c r="E494" s="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5"/>
      <c r="D495" s="1"/>
      <c r="E495" s="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5"/>
      <c r="D496" s="1"/>
      <c r="E496" s="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5"/>
      <c r="D497" s="1"/>
      <c r="E497" s="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5"/>
      <c r="D498" s="1"/>
      <c r="E498" s="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5"/>
      <c r="D499" s="1"/>
      <c r="E499" s="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5"/>
      <c r="D500" s="1"/>
      <c r="E500" s="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5"/>
      <c r="D501" s="1"/>
      <c r="E501" s="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5"/>
      <c r="D502" s="1"/>
      <c r="E502" s="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5"/>
      <c r="D503" s="1"/>
      <c r="E503" s="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5"/>
      <c r="D504" s="1"/>
      <c r="E504" s="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5"/>
      <c r="D505" s="1"/>
      <c r="E505" s="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5"/>
      <c r="D506" s="1"/>
      <c r="E506" s="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5"/>
      <c r="D507" s="1"/>
      <c r="E507" s="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5"/>
      <c r="D508" s="1"/>
      <c r="E508" s="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5"/>
      <c r="D509" s="1"/>
      <c r="E509" s="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5"/>
      <c r="D510" s="1"/>
      <c r="E510" s="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5"/>
      <c r="D511" s="1"/>
      <c r="E511" s="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5"/>
      <c r="D512" s="1"/>
      <c r="E512" s="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5"/>
      <c r="D513" s="1"/>
      <c r="E513" s="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5"/>
      <c r="D514" s="1"/>
      <c r="E514" s="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5"/>
      <c r="D515" s="1"/>
      <c r="E515" s="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5"/>
      <c r="D516" s="1"/>
      <c r="E516" s="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5"/>
      <c r="D517" s="1"/>
      <c r="E517" s="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5"/>
      <c r="D518" s="1"/>
      <c r="E518" s="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5"/>
      <c r="D519" s="1"/>
      <c r="E519" s="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5"/>
      <c r="D520" s="1"/>
      <c r="E520" s="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5"/>
      <c r="D521" s="1"/>
      <c r="E521" s="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5"/>
      <c r="D522" s="1"/>
      <c r="E522" s="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5"/>
      <c r="D523" s="1"/>
      <c r="E523" s="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5"/>
      <c r="D524" s="1"/>
      <c r="E524" s="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5"/>
      <c r="D525" s="1"/>
      <c r="E525" s="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5"/>
      <c r="D526" s="1"/>
      <c r="E526" s="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5"/>
      <c r="D527" s="1"/>
      <c r="E527" s="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5"/>
      <c r="D528" s="1"/>
      <c r="E528" s="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5"/>
      <c r="D529" s="1"/>
      <c r="E529" s="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5"/>
      <c r="D530" s="1"/>
      <c r="E530" s="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5"/>
      <c r="D531" s="1"/>
      <c r="E531" s="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5"/>
      <c r="D532" s="1"/>
      <c r="E532" s="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5"/>
      <c r="D533" s="1"/>
      <c r="E533" s="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5"/>
      <c r="D534" s="1"/>
      <c r="E534" s="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5"/>
      <c r="D535" s="1"/>
      <c r="E535" s="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5"/>
      <c r="D536" s="1"/>
      <c r="E536" s="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5"/>
      <c r="D537" s="1"/>
      <c r="E537" s="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5"/>
      <c r="D538" s="1"/>
      <c r="E538" s="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5"/>
      <c r="D539" s="1"/>
      <c r="E539" s="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5"/>
      <c r="D540" s="1"/>
      <c r="E540" s="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5"/>
      <c r="D541" s="1"/>
      <c r="E541" s="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5"/>
      <c r="D542" s="1"/>
      <c r="E542" s="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5"/>
      <c r="D543" s="1"/>
      <c r="E543" s="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5"/>
      <c r="D544" s="1"/>
      <c r="E544" s="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5"/>
      <c r="D545" s="1"/>
      <c r="E545" s="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5"/>
      <c r="D546" s="1"/>
      <c r="E546" s="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5"/>
      <c r="D547" s="1"/>
      <c r="E547" s="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5"/>
      <c r="D548" s="1"/>
      <c r="E548" s="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5"/>
      <c r="D549" s="1"/>
      <c r="E549" s="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5"/>
      <c r="D550" s="1"/>
      <c r="E550" s="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5"/>
      <c r="D551" s="1"/>
      <c r="E551" s="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5"/>
      <c r="D552" s="1"/>
      <c r="E552" s="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5"/>
      <c r="D553" s="1"/>
      <c r="E553" s="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5"/>
      <c r="D554" s="1"/>
      <c r="E554" s="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5"/>
      <c r="D555" s="1"/>
      <c r="E555" s="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5"/>
      <c r="D556" s="1"/>
      <c r="E556" s="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5"/>
      <c r="D557" s="1"/>
      <c r="E557" s="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5"/>
      <c r="D558" s="1"/>
      <c r="E558" s="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5"/>
      <c r="D559" s="1"/>
      <c r="E559" s="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5"/>
      <c r="D560" s="1"/>
      <c r="E560" s="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5"/>
      <c r="D561" s="1"/>
      <c r="E561" s="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5"/>
      <c r="D562" s="1"/>
      <c r="E562" s="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5"/>
      <c r="D563" s="1"/>
      <c r="E563" s="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5"/>
      <c r="D564" s="1"/>
      <c r="E564" s="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5"/>
      <c r="D565" s="1"/>
      <c r="E565" s="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5"/>
      <c r="D566" s="1"/>
      <c r="E566" s="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5"/>
      <c r="D567" s="1"/>
      <c r="E567" s="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5"/>
      <c r="D568" s="1"/>
      <c r="E568" s="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5"/>
      <c r="D569" s="1"/>
      <c r="E569" s="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5"/>
      <c r="D570" s="1"/>
      <c r="E570" s="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5"/>
      <c r="D571" s="1"/>
      <c r="E571" s="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5"/>
      <c r="D572" s="1"/>
      <c r="E572" s="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5"/>
      <c r="D573" s="1"/>
      <c r="E573" s="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5"/>
      <c r="D574" s="1"/>
      <c r="E574" s="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5"/>
      <c r="D575" s="1"/>
      <c r="E575" s="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5"/>
      <c r="D576" s="1"/>
      <c r="E576" s="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5"/>
      <c r="D577" s="1"/>
      <c r="E577" s="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5"/>
      <c r="D578" s="1"/>
      <c r="E578" s="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5"/>
      <c r="D579" s="1"/>
      <c r="E579" s="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5"/>
      <c r="D580" s="1"/>
      <c r="E580" s="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5"/>
      <c r="D581" s="1"/>
      <c r="E581" s="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5"/>
      <c r="D582" s="1"/>
      <c r="E582" s="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5"/>
      <c r="D583" s="1"/>
      <c r="E583" s="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5"/>
      <c r="D584" s="1"/>
      <c r="E584" s="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5"/>
      <c r="D585" s="1"/>
      <c r="E585" s="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5"/>
      <c r="D586" s="1"/>
      <c r="E586" s="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5"/>
      <c r="D587" s="1"/>
      <c r="E587" s="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5"/>
      <c r="D588" s="1"/>
      <c r="E588" s="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5"/>
      <c r="D589" s="1"/>
      <c r="E589" s="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5"/>
      <c r="D590" s="1"/>
      <c r="E590" s="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5"/>
      <c r="D591" s="1"/>
      <c r="E591" s="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5"/>
      <c r="D592" s="1"/>
      <c r="E592" s="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5"/>
      <c r="D593" s="1"/>
      <c r="E593" s="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5"/>
      <c r="D594" s="1"/>
      <c r="E594" s="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5"/>
      <c r="D595" s="1"/>
      <c r="E595" s="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5"/>
      <c r="D596" s="1"/>
      <c r="E596" s="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5"/>
      <c r="D597" s="1"/>
      <c r="E597" s="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5"/>
      <c r="D598" s="1"/>
      <c r="E598" s="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5"/>
      <c r="D599" s="1"/>
      <c r="E599" s="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5"/>
      <c r="D600" s="1"/>
      <c r="E600" s="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5"/>
      <c r="D601" s="1"/>
      <c r="E601" s="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5"/>
      <c r="D602" s="1"/>
      <c r="E602" s="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5"/>
      <c r="D603" s="1"/>
      <c r="E603" s="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5"/>
      <c r="D604" s="1"/>
      <c r="E604" s="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5"/>
      <c r="D605" s="1"/>
      <c r="E605" s="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5"/>
      <c r="D606" s="1"/>
      <c r="E606" s="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5"/>
      <c r="D607" s="1"/>
      <c r="E607" s="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5"/>
      <c r="D608" s="1"/>
      <c r="E608" s="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5"/>
      <c r="D609" s="1"/>
      <c r="E609" s="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5"/>
      <c r="D610" s="1"/>
      <c r="E610" s="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5"/>
      <c r="D611" s="1"/>
      <c r="E611" s="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5"/>
      <c r="D612" s="1"/>
      <c r="E612" s="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5"/>
      <c r="D613" s="1"/>
      <c r="E613" s="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5"/>
      <c r="D614" s="1"/>
      <c r="E614" s="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5"/>
      <c r="D615" s="1"/>
      <c r="E615" s="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5"/>
      <c r="D616" s="1"/>
      <c r="E616" s="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5"/>
      <c r="D617" s="1"/>
      <c r="E617" s="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5"/>
      <c r="D618" s="1"/>
      <c r="E618" s="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5"/>
      <c r="D619" s="1"/>
      <c r="E619" s="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5"/>
      <c r="D620" s="1"/>
      <c r="E620" s="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5"/>
      <c r="D621" s="1"/>
      <c r="E621" s="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5"/>
      <c r="D622" s="1"/>
      <c r="E622" s="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5"/>
      <c r="D623" s="1"/>
      <c r="E623" s="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5"/>
      <c r="D624" s="1"/>
      <c r="E624" s="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5"/>
      <c r="D625" s="1"/>
      <c r="E625" s="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5"/>
      <c r="D626" s="1"/>
      <c r="E626" s="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5"/>
      <c r="D627" s="1"/>
      <c r="E627" s="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5"/>
      <c r="D628" s="1"/>
      <c r="E628" s="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5"/>
      <c r="D629" s="1"/>
      <c r="E629" s="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5"/>
      <c r="D630" s="1"/>
      <c r="E630" s="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5"/>
      <c r="D631" s="1"/>
      <c r="E631" s="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5"/>
      <c r="D632" s="1"/>
      <c r="E632" s="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5"/>
      <c r="D633" s="1"/>
      <c r="E633" s="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5"/>
      <c r="D634" s="1"/>
      <c r="E634" s="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5"/>
      <c r="D635" s="1"/>
      <c r="E635" s="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5"/>
      <c r="D636" s="1"/>
      <c r="E636" s="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5"/>
      <c r="D637" s="1"/>
      <c r="E637" s="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5"/>
      <c r="D638" s="1"/>
      <c r="E638" s="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5"/>
      <c r="D639" s="1"/>
      <c r="E639" s="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5"/>
      <c r="D640" s="1"/>
      <c r="E640" s="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5"/>
      <c r="D641" s="1"/>
      <c r="E641" s="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5"/>
      <c r="D642" s="1"/>
      <c r="E642" s="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5"/>
      <c r="D643" s="1"/>
      <c r="E643" s="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5"/>
      <c r="D644" s="1"/>
      <c r="E644" s="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5"/>
      <c r="D645" s="1"/>
      <c r="E645" s="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5"/>
      <c r="D646" s="1"/>
      <c r="E646" s="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5"/>
      <c r="D647" s="1"/>
      <c r="E647" s="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5"/>
      <c r="D648" s="1"/>
      <c r="E648" s="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5"/>
      <c r="D649" s="1"/>
      <c r="E649" s="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5"/>
      <c r="D650" s="1"/>
      <c r="E650" s="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5"/>
      <c r="D651" s="1"/>
      <c r="E651" s="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5"/>
      <c r="D652" s="1"/>
      <c r="E652" s="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5"/>
      <c r="D653" s="1"/>
      <c r="E653" s="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5"/>
      <c r="D654" s="1"/>
      <c r="E654" s="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5"/>
      <c r="D655" s="1"/>
      <c r="E655" s="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5"/>
      <c r="D656" s="1"/>
      <c r="E656" s="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5"/>
      <c r="D657" s="1"/>
      <c r="E657" s="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5"/>
      <c r="D658" s="1"/>
      <c r="E658" s="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5"/>
      <c r="D659" s="1"/>
      <c r="E659" s="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5"/>
      <c r="D660" s="1"/>
      <c r="E660" s="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5"/>
      <c r="D661" s="1"/>
      <c r="E661" s="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5"/>
      <c r="D662" s="1"/>
      <c r="E662" s="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5"/>
      <c r="D663" s="1"/>
      <c r="E663" s="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5"/>
      <c r="D664" s="1"/>
      <c r="E664" s="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5"/>
      <c r="D665" s="1"/>
      <c r="E665" s="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5"/>
      <c r="D666" s="1"/>
      <c r="E666" s="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5"/>
      <c r="D667" s="1"/>
      <c r="E667" s="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5"/>
      <c r="D668" s="1"/>
      <c r="E668" s="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5"/>
      <c r="D669" s="1"/>
      <c r="E669" s="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5"/>
      <c r="D670" s="1"/>
      <c r="E670" s="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5"/>
      <c r="D671" s="1"/>
      <c r="E671" s="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5"/>
      <c r="D672" s="1"/>
      <c r="E672" s="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5"/>
      <c r="D673" s="1"/>
      <c r="E673" s="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5"/>
      <c r="D674" s="1"/>
      <c r="E674" s="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5"/>
      <c r="D675" s="1"/>
      <c r="E675" s="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5"/>
      <c r="D676" s="1"/>
      <c r="E676" s="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5"/>
      <c r="D677" s="1"/>
      <c r="E677" s="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5"/>
      <c r="D678" s="1"/>
      <c r="E678" s="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5"/>
      <c r="D679" s="1"/>
      <c r="E679" s="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5"/>
      <c r="D680" s="1"/>
      <c r="E680" s="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5"/>
      <c r="D681" s="1"/>
      <c r="E681" s="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5"/>
      <c r="D682" s="1"/>
      <c r="E682" s="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5"/>
      <c r="D683" s="1"/>
      <c r="E683" s="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5"/>
      <c r="D684" s="1"/>
      <c r="E684" s="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5"/>
      <c r="D685" s="1"/>
      <c r="E685" s="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5"/>
      <c r="D686" s="1"/>
      <c r="E686" s="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5"/>
      <c r="D687" s="1"/>
      <c r="E687" s="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5"/>
      <c r="D688" s="1"/>
      <c r="E688" s="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5"/>
      <c r="D689" s="1"/>
      <c r="E689" s="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5"/>
      <c r="D690" s="1"/>
      <c r="E690" s="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5"/>
      <c r="D691" s="1"/>
      <c r="E691" s="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5"/>
      <c r="D692" s="1"/>
      <c r="E692" s="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5"/>
      <c r="D693" s="1"/>
      <c r="E693" s="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5"/>
      <c r="D694" s="1"/>
      <c r="E694" s="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5"/>
      <c r="D695" s="1"/>
      <c r="E695" s="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5"/>
      <c r="D696" s="1"/>
      <c r="E696" s="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5"/>
      <c r="D697" s="1"/>
      <c r="E697" s="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5"/>
      <c r="D698" s="1"/>
      <c r="E698" s="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5"/>
      <c r="D699" s="1"/>
      <c r="E699" s="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5"/>
      <c r="D700" s="1"/>
      <c r="E700" s="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5"/>
      <c r="D701" s="1"/>
      <c r="E701" s="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5"/>
      <c r="D702" s="1"/>
      <c r="E702" s="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5"/>
      <c r="D703" s="1"/>
      <c r="E703" s="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5"/>
      <c r="D704" s="1"/>
      <c r="E704" s="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5"/>
      <c r="D705" s="1"/>
      <c r="E705" s="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5"/>
      <c r="D706" s="1"/>
      <c r="E706" s="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5"/>
      <c r="D707" s="1"/>
      <c r="E707" s="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5"/>
      <c r="D708" s="1"/>
      <c r="E708" s="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5"/>
      <c r="D709" s="1"/>
      <c r="E709" s="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5"/>
      <c r="D710" s="1"/>
      <c r="E710" s="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5"/>
      <c r="D711" s="1"/>
      <c r="E711" s="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5"/>
      <c r="D712" s="1"/>
      <c r="E712" s="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5"/>
      <c r="D713" s="1"/>
      <c r="E713" s="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5"/>
      <c r="D714" s="1"/>
      <c r="E714" s="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5"/>
      <c r="D715" s="1"/>
      <c r="E715" s="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5"/>
      <c r="D716" s="1"/>
      <c r="E716" s="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5"/>
      <c r="D717" s="1"/>
      <c r="E717" s="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5"/>
      <c r="D718" s="1"/>
      <c r="E718" s="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5"/>
      <c r="D719" s="1"/>
      <c r="E719" s="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5"/>
      <c r="D720" s="1"/>
      <c r="E720" s="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5"/>
      <c r="D721" s="1"/>
      <c r="E721" s="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5"/>
      <c r="D722" s="1"/>
      <c r="E722" s="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5"/>
      <c r="D723" s="1"/>
      <c r="E723" s="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5"/>
      <c r="D724" s="1"/>
      <c r="E724" s="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5"/>
      <c r="D725" s="1"/>
      <c r="E725" s="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5"/>
      <c r="D726" s="1"/>
      <c r="E726" s="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5"/>
      <c r="D727" s="1"/>
      <c r="E727" s="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5"/>
      <c r="D728" s="1"/>
      <c r="E728" s="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5"/>
      <c r="D729" s="1"/>
      <c r="E729" s="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5"/>
      <c r="D730" s="1"/>
      <c r="E730" s="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5"/>
      <c r="D731" s="1"/>
      <c r="E731" s="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5"/>
      <c r="D732" s="1"/>
      <c r="E732" s="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5"/>
      <c r="D733" s="1"/>
      <c r="E733" s="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5"/>
      <c r="D734" s="1"/>
      <c r="E734" s="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5"/>
      <c r="D735" s="1"/>
      <c r="E735" s="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5"/>
      <c r="D736" s="1"/>
      <c r="E736" s="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5"/>
      <c r="D737" s="1"/>
      <c r="E737" s="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5"/>
      <c r="D738" s="1"/>
      <c r="E738" s="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5"/>
      <c r="D739" s="1"/>
      <c r="E739" s="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5"/>
      <c r="D740" s="1"/>
      <c r="E740" s="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5"/>
      <c r="D741" s="1"/>
      <c r="E741" s="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5"/>
      <c r="D742" s="1"/>
      <c r="E742" s="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5"/>
      <c r="D743" s="1"/>
      <c r="E743" s="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5"/>
      <c r="D744" s="1"/>
      <c r="E744" s="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5"/>
      <c r="D745" s="1"/>
      <c r="E745" s="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5"/>
      <c r="D746" s="1"/>
      <c r="E746" s="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5"/>
      <c r="D747" s="1"/>
      <c r="E747" s="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5"/>
      <c r="D748" s="1"/>
      <c r="E748" s="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5"/>
      <c r="D749" s="1"/>
      <c r="E749" s="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5"/>
      <c r="D750" s="1"/>
      <c r="E750" s="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5"/>
      <c r="D751" s="1"/>
      <c r="E751" s="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5"/>
      <c r="D752" s="1"/>
      <c r="E752" s="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5"/>
      <c r="D753" s="1"/>
      <c r="E753" s="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5"/>
      <c r="D754" s="1"/>
      <c r="E754" s="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5"/>
      <c r="D755" s="1"/>
      <c r="E755" s="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5"/>
      <c r="D756" s="1"/>
      <c r="E756" s="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5"/>
      <c r="D757" s="1"/>
      <c r="E757" s="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5"/>
      <c r="D758" s="1"/>
      <c r="E758" s="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5"/>
      <c r="D759" s="1"/>
      <c r="E759" s="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5"/>
      <c r="D760" s="1"/>
      <c r="E760" s="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5"/>
      <c r="D761" s="1"/>
      <c r="E761" s="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5"/>
      <c r="D762" s="1"/>
      <c r="E762" s="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5"/>
      <c r="D763" s="1"/>
      <c r="E763" s="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5"/>
      <c r="D764" s="1"/>
      <c r="E764" s="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5"/>
      <c r="D765" s="1"/>
      <c r="E765" s="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5"/>
      <c r="D766" s="1"/>
      <c r="E766" s="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5"/>
      <c r="D767" s="1"/>
      <c r="E767" s="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5"/>
      <c r="D768" s="1"/>
      <c r="E768" s="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5"/>
      <c r="D769" s="1"/>
      <c r="E769" s="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5"/>
      <c r="D770" s="1"/>
      <c r="E770" s="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5"/>
      <c r="D771" s="1"/>
      <c r="E771" s="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5"/>
      <c r="D772" s="1"/>
      <c r="E772" s="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5"/>
      <c r="D773" s="1"/>
      <c r="E773" s="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5"/>
      <c r="D774" s="1"/>
      <c r="E774" s="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5"/>
      <c r="D775" s="1"/>
      <c r="E775" s="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5"/>
      <c r="D776" s="1"/>
      <c r="E776" s="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5"/>
      <c r="D777" s="1"/>
      <c r="E777" s="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5"/>
      <c r="D778" s="1"/>
      <c r="E778" s="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5"/>
      <c r="D779" s="1"/>
      <c r="E779" s="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5"/>
      <c r="D780" s="1"/>
      <c r="E780" s="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5"/>
      <c r="D781" s="1"/>
      <c r="E781" s="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5"/>
      <c r="D782" s="1"/>
      <c r="E782" s="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5"/>
      <c r="D783" s="1"/>
      <c r="E783" s="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5"/>
      <c r="D784" s="1"/>
      <c r="E784" s="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5"/>
      <c r="D785" s="1"/>
      <c r="E785" s="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5"/>
      <c r="D786" s="1"/>
      <c r="E786" s="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5"/>
      <c r="D787" s="1"/>
      <c r="E787" s="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5"/>
      <c r="D788" s="1"/>
      <c r="E788" s="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5"/>
      <c r="D789" s="1"/>
      <c r="E789" s="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5"/>
      <c r="D790" s="1"/>
      <c r="E790" s="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5"/>
      <c r="D791" s="1"/>
      <c r="E791" s="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5"/>
      <c r="D792" s="1"/>
      <c r="E792" s="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5"/>
      <c r="D793" s="1"/>
      <c r="E793" s="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5"/>
      <c r="D794" s="1"/>
      <c r="E794" s="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5"/>
      <c r="D795" s="1"/>
      <c r="E795" s="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5"/>
      <c r="D796" s="1"/>
      <c r="E796" s="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5"/>
      <c r="D797" s="1"/>
      <c r="E797" s="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5"/>
      <c r="D798" s="1"/>
      <c r="E798" s="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5"/>
      <c r="D799" s="1"/>
      <c r="E799" s="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5"/>
      <c r="D800" s="1"/>
      <c r="E800" s="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5"/>
      <c r="D801" s="1"/>
      <c r="E801" s="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5"/>
      <c r="D802" s="1"/>
      <c r="E802" s="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5"/>
      <c r="D803" s="1"/>
      <c r="E803" s="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5"/>
      <c r="D804" s="1"/>
      <c r="E804" s="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5"/>
      <c r="D805" s="1"/>
      <c r="E805" s="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5"/>
      <c r="D806" s="1"/>
      <c r="E806" s="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5"/>
      <c r="D807" s="1"/>
      <c r="E807" s="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5"/>
      <c r="D808" s="1"/>
      <c r="E808" s="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5"/>
      <c r="D809" s="1"/>
      <c r="E809" s="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5"/>
      <c r="D810" s="1"/>
      <c r="E810" s="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5"/>
      <c r="D811" s="1"/>
      <c r="E811" s="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5"/>
      <c r="D812" s="1"/>
      <c r="E812" s="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5"/>
      <c r="D813" s="1"/>
      <c r="E813" s="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5"/>
      <c r="D814" s="1"/>
      <c r="E814" s="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5"/>
      <c r="D815" s="1"/>
      <c r="E815" s="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5"/>
      <c r="D816" s="1"/>
      <c r="E816" s="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5"/>
      <c r="D817" s="1"/>
      <c r="E817" s="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5"/>
      <c r="D818" s="1"/>
      <c r="E818" s="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5"/>
      <c r="D819" s="1"/>
      <c r="E819" s="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5"/>
      <c r="D820" s="1"/>
      <c r="E820" s="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5"/>
      <c r="D821" s="1"/>
      <c r="E821" s="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5"/>
      <c r="D822" s="1"/>
      <c r="E822" s="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5"/>
      <c r="D823" s="1"/>
      <c r="E823" s="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5"/>
      <c r="D824" s="1"/>
      <c r="E824" s="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5"/>
      <c r="D825" s="1"/>
      <c r="E825" s="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5"/>
      <c r="D826" s="1"/>
      <c r="E826" s="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5"/>
      <c r="D827" s="1"/>
      <c r="E827" s="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5"/>
      <c r="D828" s="1"/>
      <c r="E828" s="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5"/>
      <c r="D829" s="1"/>
      <c r="E829" s="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5"/>
      <c r="D830" s="1"/>
      <c r="E830" s="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5"/>
      <c r="D831" s="1"/>
      <c r="E831" s="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5"/>
      <c r="D832" s="1"/>
      <c r="E832" s="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5"/>
      <c r="D833" s="1"/>
      <c r="E833" s="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5"/>
      <c r="D834" s="1"/>
      <c r="E834" s="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5"/>
      <c r="D835" s="1"/>
      <c r="E835" s="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5"/>
      <c r="D836" s="1"/>
      <c r="E836" s="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5"/>
      <c r="D837" s="1"/>
      <c r="E837" s="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5"/>
      <c r="D838" s="1"/>
      <c r="E838" s="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5"/>
      <c r="D839" s="1"/>
      <c r="E839" s="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5"/>
      <c r="D840" s="1"/>
      <c r="E840" s="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5"/>
      <c r="D841" s="1"/>
      <c r="E841" s="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5"/>
      <c r="D842" s="1"/>
      <c r="E842" s="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5"/>
      <c r="D843" s="1"/>
      <c r="E843" s="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5"/>
      <c r="D844" s="1"/>
      <c r="E844" s="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5"/>
      <c r="D845" s="1"/>
      <c r="E845" s="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5"/>
      <c r="D846" s="1"/>
      <c r="E846" s="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5"/>
      <c r="D847" s="1"/>
      <c r="E847" s="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5"/>
      <c r="D848" s="1"/>
      <c r="E848" s="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5"/>
      <c r="D849" s="1"/>
      <c r="E849" s="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5"/>
      <c r="D850" s="1"/>
      <c r="E850" s="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5"/>
      <c r="D851" s="1"/>
      <c r="E851" s="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5"/>
      <c r="D852" s="1"/>
      <c r="E852" s="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5"/>
      <c r="D853" s="1"/>
      <c r="E853" s="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5"/>
      <c r="D854" s="1"/>
      <c r="E854" s="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5"/>
      <c r="D855" s="1"/>
      <c r="E855" s="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5"/>
      <c r="D856" s="1"/>
      <c r="E856" s="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5"/>
      <c r="D857" s="1"/>
      <c r="E857" s="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5"/>
      <c r="D858" s="1"/>
      <c r="E858" s="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5"/>
      <c r="D859" s="1"/>
      <c r="E859" s="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5"/>
      <c r="D860" s="1"/>
      <c r="E860" s="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5"/>
      <c r="D861" s="1"/>
      <c r="E861" s="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5"/>
      <c r="D862" s="1"/>
      <c r="E862" s="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5"/>
      <c r="D863" s="1"/>
      <c r="E863" s="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5"/>
      <c r="D864" s="1"/>
      <c r="E864" s="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5"/>
      <c r="D865" s="1"/>
      <c r="E865" s="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5"/>
      <c r="D866" s="1"/>
      <c r="E866" s="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5"/>
      <c r="D867" s="1"/>
      <c r="E867" s="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5"/>
      <c r="D868" s="1"/>
      <c r="E868" s="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5"/>
      <c r="D869" s="1"/>
      <c r="E869" s="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5"/>
      <c r="D870" s="1"/>
      <c r="E870" s="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5"/>
      <c r="D871" s="1"/>
      <c r="E871" s="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5"/>
      <c r="D872" s="1"/>
      <c r="E872" s="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5"/>
      <c r="D873" s="1"/>
      <c r="E873" s="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5"/>
      <c r="D874" s="1"/>
      <c r="E874" s="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5"/>
      <c r="D875" s="1"/>
      <c r="E875" s="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5"/>
      <c r="D876" s="1"/>
      <c r="E876" s="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5"/>
      <c r="D877" s="1"/>
      <c r="E877" s="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5"/>
      <c r="D878" s="1"/>
      <c r="E878" s="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5"/>
      <c r="D879" s="1"/>
      <c r="E879" s="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5"/>
      <c r="D880" s="1"/>
      <c r="E880" s="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5"/>
      <c r="D881" s="1"/>
      <c r="E881" s="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5"/>
      <c r="D882" s="1"/>
      <c r="E882" s="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5"/>
      <c r="D883" s="1"/>
      <c r="E883" s="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5"/>
      <c r="D884" s="1"/>
      <c r="E884" s="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5"/>
      <c r="D885" s="1"/>
      <c r="E885" s="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5"/>
      <c r="D886" s="1"/>
      <c r="E886" s="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5"/>
      <c r="D887" s="1"/>
      <c r="E887" s="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5"/>
      <c r="D888" s="1"/>
      <c r="E888" s="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5"/>
      <c r="D889" s="1"/>
      <c r="E889" s="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5"/>
      <c r="D890" s="1"/>
      <c r="E890" s="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5"/>
      <c r="D891" s="1"/>
      <c r="E891" s="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5"/>
      <c r="D892" s="1"/>
      <c r="E892" s="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5"/>
      <c r="D893" s="1"/>
      <c r="E893" s="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5"/>
      <c r="D894" s="1"/>
      <c r="E894" s="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5"/>
      <c r="D895" s="1"/>
      <c r="E895" s="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5"/>
      <c r="D896" s="1"/>
      <c r="E896" s="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5"/>
      <c r="D897" s="1"/>
      <c r="E897" s="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5"/>
      <c r="D898" s="1"/>
      <c r="E898" s="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5"/>
      <c r="D899" s="1"/>
      <c r="E899" s="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5"/>
      <c r="D900" s="1"/>
      <c r="E900" s="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5"/>
      <c r="D901" s="1"/>
      <c r="E901" s="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5"/>
      <c r="D902" s="1"/>
      <c r="E902" s="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5"/>
      <c r="D903" s="1"/>
      <c r="E903" s="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5"/>
      <c r="D904" s="1"/>
      <c r="E904" s="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5"/>
      <c r="D905" s="1"/>
      <c r="E905" s="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5"/>
      <c r="D906" s="1"/>
      <c r="E906" s="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5"/>
      <c r="D907" s="1"/>
      <c r="E907" s="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5"/>
      <c r="D908" s="1"/>
      <c r="E908" s="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5"/>
      <c r="D909" s="1"/>
      <c r="E909" s="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5"/>
      <c r="D910" s="1"/>
      <c r="E910" s="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5"/>
      <c r="D911" s="1"/>
      <c r="E911" s="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5"/>
      <c r="D912" s="1"/>
      <c r="E912" s="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5"/>
      <c r="D913" s="1"/>
      <c r="E913" s="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5"/>
      <c r="D914" s="1"/>
      <c r="E914" s="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5"/>
      <c r="D915" s="1"/>
      <c r="E915" s="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5"/>
      <c r="D916" s="1"/>
      <c r="E916" s="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5"/>
      <c r="D917" s="1"/>
      <c r="E917" s="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5"/>
      <c r="D918" s="1"/>
      <c r="E918" s="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5"/>
      <c r="D919" s="1"/>
      <c r="E919" s="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5"/>
      <c r="D920" s="1"/>
      <c r="E920" s="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5"/>
      <c r="D921" s="1"/>
      <c r="E921" s="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5"/>
      <c r="D922" s="1"/>
      <c r="E922" s="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5"/>
      <c r="D923" s="1"/>
      <c r="E923" s="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5"/>
      <c r="D924" s="1"/>
      <c r="E924" s="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5"/>
      <c r="D925" s="1"/>
      <c r="E925" s="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5"/>
      <c r="D926" s="1"/>
      <c r="E926" s="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5"/>
      <c r="D927" s="1"/>
      <c r="E927" s="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5"/>
      <c r="D928" s="1"/>
      <c r="E928" s="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5"/>
      <c r="D929" s="1"/>
      <c r="E929" s="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5"/>
      <c r="D930" s="1"/>
      <c r="E930" s="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5"/>
      <c r="D931" s="1"/>
      <c r="E931" s="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5"/>
      <c r="D932" s="1"/>
      <c r="E932" s="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5"/>
      <c r="D933" s="1"/>
      <c r="E933" s="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5"/>
      <c r="D934" s="1"/>
      <c r="E934" s="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5"/>
      <c r="D935" s="1"/>
      <c r="E935" s="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5"/>
      <c r="D936" s="1"/>
      <c r="E936" s="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5"/>
      <c r="D937" s="1"/>
      <c r="E937" s="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5"/>
      <c r="D938" s="1"/>
      <c r="E938" s="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5"/>
      <c r="D939" s="1"/>
      <c r="E939" s="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5"/>
      <c r="D940" s="1"/>
      <c r="E940" s="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5"/>
      <c r="D941" s="1"/>
      <c r="E941" s="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5"/>
      <c r="D942" s="1"/>
      <c r="E942" s="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5"/>
      <c r="D943" s="1"/>
      <c r="E943" s="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5"/>
      <c r="D944" s="1"/>
      <c r="E944" s="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5"/>
      <c r="D945" s="1"/>
      <c r="E945" s="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5"/>
      <c r="D946" s="1"/>
      <c r="E946" s="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5"/>
      <c r="D947" s="1"/>
      <c r="E947" s="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5"/>
      <c r="D948" s="1"/>
      <c r="E948" s="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5"/>
      <c r="D949" s="1"/>
      <c r="E949" s="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5"/>
      <c r="D950" s="1"/>
      <c r="E950" s="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5"/>
      <c r="D951" s="1"/>
      <c r="E951" s="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5"/>
      <c r="D952" s="1"/>
      <c r="E952" s="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5"/>
      <c r="D953" s="1"/>
      <c r="E953" s="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5"/>
      <c r="D954" s="1"/>
      <c r="E954" s="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5"/>
      <c r="D955" s="1"/>
      <c r="E955" s="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5"/>
      <c r="D956" s="1"/>
      <c r="E956" s="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5"/>
      <c r="D957" s="1"/>
      <c r="E957" s="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5"/>
      <c r="D958" s="1"/>
      <c r="E958" s="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5"/>
      <c r="D959" s="1"/>
      <c r="E959" s="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5"/>
      <c r="D960" s="1"/>
      <c r="E960" s="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5"/>
      <c r="D961" s="1"/>
      <c r="E961" s="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5"/>
      <c r="D962" s="1"/>
      <c r="E962" s="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5"/>
      <c r="D963" s="1"/>
      <c r="E963" s="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5"/>
      <c r="D964" s="1"/>
      <c r="E964" s="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5"/>
      <c r="D965" s="1"/>
      <c r="E965" s="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5"/>
      <c r="D966" s="1"/>
      <c r="E966" s="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5"/>
      <c r="D967" s="1"/>
      <c r="E967" s="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5"/>
      <c r="D968" s="1"/>
      <c r="E968" s="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5"/>
      <c r="D969" s="1"/>
      <c r="E969" s="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5"/>
      <c r="D970" s="1"/>
      <c r="E970" s="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5"/>
      <c r="D971" s="1"/>
      <c r="E971" s="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5"/>
      <c r="D972" s="1"/>
      <c r="E972" s="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5"/>
      <c r="D973" s="1"/>
      <c r="E973" s="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5"/>
      <c r="D974" s="1"/>
      <c r="E974" s="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5"/>
      <c r="D975" s="1"/>
      <c r="E975" s="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5"/>
      <c r="D976" s="1"/>
      <c r="E976" s="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5"/>
      <c r="D977" s="1"/>
      <c r="E977" s="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5"/>
      <c r="D978" s="1"/>
      <c r="E978" s="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5"/>
      <c r="D979" s="1"/>
      <c r="E979" s="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5"/>
      <c r="D980" s="1"/>
      <c r="E980" s="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5"/>
      <c r="D981" s="1"/>
      <c r="E981" s="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5"/>
      <c r="D982" s="1"/>
      <c r="E982" s="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5"/>
      <c r="D983" s="1"/>
      <c r="E983" s="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5"/>
      <c r="D984" s="1"/>
      <c r="E984" s="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5"/>
      <c r="D985" s="1"/>
      <c r="E985" s="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5"/>
      <c r="D986" s="1"/>
      <c r="E986" s="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5"/>
      <c r="D987" s="1"/>
      <c r="E987" s="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5"/>
      <c r="D988" s="1"/>
      <c r="E988" s="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5"/>
      <c r="D989" s="1"/>
      <c r="E989" s="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5"/>
      <c r="D990" s="1"/>
      <c r="E990" s="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5"/>
      <c r="D991" s="1"/>
      <c r="E991" s="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5"/>
      <c r="D992" s="1"/>
      <c r="E992" s="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5"/>
      <c r="D993" s="1"/>
      <c r="E993" s="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5"/>
      <c r="D994" s="1"/>
      <c r="E994" s="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5"/>
      <c r="D995" s="1"/>
      <c r="E995" s="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5"/>
      <c r="D996" s="1"/>
      <c r="E996" s="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5"/>
      <c r="D997" s="1"/>
      <c r="E997" s="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5"/>
      <c r="D998" s="1"/>
      <c r="E998" s="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5"/>
      <c r="D999" s="1"/>
      <c r="E999" s="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5"/>
      <c r="D1000" s="1"/>
      <c r="E1000" s="6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53:D153"/>
    <mergeCell ref="G62:G6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1.57"/>
    <col customWidth="1" min="2" max="2" width="10.14"/>
    <col customWidth="1" min="3" max="3" width="9.43"/>
    <col customWidth="1" min="4" max="4" width="23.0"/>
    <col customWidth="1" min="5" max="5" width="55.29"/>
    <col customWidth="1" min="6" max="6" width="14.29"/>
    <col customWidth="1" min="7" max="16" width="11.57"/>
    <col customWidth="1" min="17" max="26" width="8.0"/>
  </cols>
  <sheetData>
    <row r="1" ht="12.75" customHeight="1">
      <c r="A1" s="7" t="s">
        <v>0</v>
      </c>
      <c r="B1" s="8" t="s">
        <v>1</v>
      </c>
      <c r="C1" s="7" t="s">
        <v>2</v>
      </c>
      <c r="D1" s="11" t="s">
        <v>3</v>
      </c>
      <c r="E1" s="7" t="s">
        <v>6</v>
      </c>
    </row>
    <row r="2" ht="12.75" customHeight="1">
      <c r="A2" s="1"/>
      <c r="B2" s="5"/>
      <c r="C2" s="1"/>
      <c r="D2" s="10"/>
      <c r="E2" s="1"/>
    </row>
    <row r="3" ht="12.75" customHeight="1">
      <c r="A3" s="12" t="s">
        <v>7</v>
      </c>
      <c r="B3" s="13">
        <v>42278.0</v>
      </c>
      <c r="C3" s="12" t="s">
        <v>8</v>
      </c>
      <c r="D3" s="14">
        <v>6840.25</v>
      </c>
      <c r="E3" s="12" t="s">
        <v>9</v>
      </c>
      <c r="F3" s="12" t="s">
        <v>10</v>
      </c>
      <c r="G3" s="1"/>
      <c r="H3" s="1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2"/>
      <c r="B4" s="13"/>
      <c r="C4" s="12"/>
      <c r="D4" s="14">
        <f>D3-6840.25</f>
        <v>0</v>
      </c>
      <c r="E4" s="12"/>
      <c r="F4" s="12"/>
      <c r="G4" s="1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6" t="s">
        <v>7</v>
      </c>
      <c r="B5" s="17">
        <v>42346.0</v>
      </c>
      <c r="C5" s="16" t="s">
        <v>11</v>
      </c>
      <c r="D5" s="18">
        <v>24414.22</v>
      </c>
      <c r="E5" s="16" t="s">
        <v>12</v>
      </c>
      <c r="F5" s="19" t="s">
        <v>13</v>
      </c>
    </row>
    <row r="6" ht="12.75" customHeight="1">
      <c r="A6" s="1"/>
      <c r="B6" s="20"/>
      <c r="D6" s="21">
        <v>21316.31</v>
      </c>
    </row>
    <row r="7" ht="12.75" customHeight="1">
      <c r="A7" s="1"/>
      <c r="B7" s="20"/>
      <c r="D7" s="21">
        <f>D6-1128.34</f>
        <v>20187.97</v>
      </c>
    </row>
    <row r="8" ht="12.75" customHeight="1">
      <c r="A8" s="1"/>
      <c r="B8" s="20"/>
      <c r="D8" s="21">
        <f>D7-845.25</f>
        <v>19342.72</v>
      </c>
    </row>
    <row r="9" ht="12.75" customHeight="1">
      <c r="A9" s="1"/>
      <c r="B9" s="22">
        <v>42787.0</v>
      </c>
      <c r="C9" s="23">
        <v>2911.0</v>
      </c>
      <c r="D9" s="21">
        <f>D8-1407.41</f>
        <v>17935.31</v>
      </c>
    </row>
    <row r="10" ht="12.75" customHeight="1">
      <c r="A10" s="1"/>
      <c r="B10" s="22">
        <v>42809.0</v>
      </c>
      <c r="C10" s="23">
        <v>2950.0</v>
      </c>
      <c r="D10" s="21">
        <f>D9-3385.02</f>
        <v>14550.29</v>
      </c>
    </row>
    <row r="11" ht="12.75" customHeight="1">
      <c r="A11" s="1"/>
      <c r="B11" s="22">
        <v>42852.0</v>
      </c>
      <c r="C11" s="23">
        <v>3027.0</v>
      </c>
      <c r="D11" s="21">
        <f>D10-1409.42</f>
        <v>13140.87</v>
      </c>
    </row>
    <row r="12" ht="12.75" customHeight="1">
      <c r="A12" s="24">
        <v>42866.0</v>
      </c>
      <c r="B12" s="22">
        <v>42887.0</v>
      </c>
      <c r="C12" s="23">
        <v>3054.0</v>
      </c>
      <c r="D12" s="21">
        <f>D11-2820.85</f>
        <v>10320.02</v>
      </c>
    </row>
    <row r="13" ht="12.75" customHeight="1">
      <c r="A13" s="24">
        <v>42912.0</v>
      </c>
      <c r="B13" s="22">
        <v>42920.0</v>
      </c>
      <c r="C13" s="23">
        <v>3142.0</v>
      </c>
      <c r="D13" s="21">
        <f>D12-1973.59</f>
        <v>8346.43</v>
      </c>
    </row>
    <row r="14" ht="12.75" customHeight="1">
      <c r="A14" s="24">
        <v>42936.0</v>
      </c>
      <c r="B14" s="22">
        <v>42948.0</v>
      </c>
      <c r="C14" s="23">
        <v>3212.0</v>
      </c>
      <c r="D14" s="21">
        <f>D13-1150.42</f>
        <v>7196.01</v>
      </c>
    </row>
    <row r="15" ht="12.75" customHeight="1">
      <c r="A15" s="24">
        <v>42961.0</v>
      </c>
      <c r="B15" s="22">
        <v>43003.0</v>
      </c>
      <c r="C15" s="23">
        <v>3257.0</v>
      </c>
      <c r="D15" s="21">
        <f>D14-3097.91</f>
        <v>4098.1</v>
      </c>
    </row>
    <row r="16" ht="12.75" customHeight="1">
      <c r="A16" s="24">
        <v>43004.0</v>
      </c>
      <c r="B16" s="22">
        <v>43017.0</v>
      </c>
      <c r="C16" s="23">
        <v>3353.0</v>
      </c>
      <c r="D16" s="21">
        <f>D15-3945.17</f>
        <v>152.93</v>
      </c>
    </row>
    <row r="17" ht="12.75" customHeight="1">
      <c r="A17" s="12" t="s">
        <v>15</v>
      </c>
      <c r="B17" s="13">
        <v>42356.0</v>
      </c>
      <c r="C17" s="12" t="s">
        <v>16</v>
      </c>
      <c r="D17" s="14">
        <v>5190.0</v>
      </c>
      <c r="E17" s="12" t="s">
        <v>17</v>
      </c>
      <c r="F17" s="12" t="s">
        <v>18</v>
      </c>
    </row>
    <row r="18" ht="12.75" customHeight="1">
      <c r="A18" s="12"/>
      <c r="B18" s="13"/>
      <c r="C18" s="12"/>
      <c r="D18" s="14">
        <f>D17-5190</f>
        <v>0</v>
      </c>
      <c r="E18" s="12"/>
      <c r="F18" s="12"/>
    </row>
    <row r="19" ht="12.75" customHeight="1">
      <c r="A19" s="25" t="s">
        <v>14</v>
      </c>
      <c r="B19" s="26">
        <v>42227.0</v>
      </c>
      <c r="C19" s="25" t="s">
        <v>19</v>
      </c>
      <c r="D19" s="27">
        <v>16373.4</v>
      </c>
      <c r="E19" s="25" t="s">
        <v>21</v>
      </c>
      <c r="F19" s="30" t="s">
        <v>22</v>
      </c>
    </row>
    <row r="20" ht="12.75" customHeight="1">
      <c r="A20" s="1"/>
      <c r="B20" s="20"/>
      <c r="C20" s="1"/>
      <c r="D20" s="10"/>
      <c r="E20" s="1"/>
    </row>
    <row r="21" ht="12.75" customHeight="1">
      <c r="A21" s="25" t="s">
        <v>49</v>
      </c>
      <c r="B21" s="26">
        <v>42151.0</v>
      </c>
      <c r="C21" s="25" t="s">
        <v>50</v>
      </c>
      <c r="D21" s="27">
        <v>322.4</v>
      </c>
      <c r="E21" s="25" t="s">
        <v>51</v>
      </c>
      <c r="F21" s="30" t="s">
        <v>22</v>
      </c>
    </row>
    <row r="22" ht="12.75" customHeight="1">
      <c r="A22" s="1"/>
      <c r="B22" s="20"/>
      <c r="C22" s="1"/>
      <c r="D22" s="10"/>
      <c r="E22" s="1"/>
    </row>
    <row r="23" ht="12.75" customHeight="1">
      <c r="A23" s="25" t="s">
        <v>52</v>
      </c>
      <c r="B23" s="26">
        <v>42152.0</v>
      </c>
      <c r="C23" s="25" t="s">
        <v>53</v>
      </c>
      <c r="D23" s="27">
        <v>8258.24</v>
      </c>
      <c r="E23" s="25" t="s">
        <v>54</v>
      </c>
      <c r="F23" s="30" t="s">
        <v>22</v>
      </c>
    </row>
    <row r="24" ht="12.75" customHeight="1">
      <c r="A24" s="1"/>
      <c r="B24" s="20"/>
      <c r="C24" s="1"/>
      <c r="D24" s="10"/>
      <c r="E24" s="1"/>
    </row>
    <row r="25" ht="12.75" customHeight="1">
      <c r="A25" s="25" t="s">
        <v>52</v>
      </c>
      <c r="B25" s="26">
        <v>42217.0</v>
      </c>
      <c r="C25" s="25" t="s">
        <v>55</v>
      </c>
      <c r="D25" s="27">
        <v>9960.0</v>
      </c>
      <c r="E25" s="25" t="s">
        <v>56</v>
      </c>
      <c r="F25" s="30" t="s">
        <v>22</v>
      </c>
    </row>
    <row r="26" ht="12.75" customHeight="1">
      <c r="A26" s="1"/>
      <c r="B26" s="20"/>
      <c r="C26" s="1"/>
      <c r="D26" s="10"/>
      <c r="E26" s="1"/>
    </row>
    <row r="27" ht="12.75" customHeight="1">
      <c r="A27" s="12" t="s">
        <v>57</v>
      </c>
      <c r="B27" s="13">
        <v>42132.0</v>
      </c>
      <c r="C27" s="12" t="s">
        <v>58</v>
      </c>
      <c r="D27" s="14">
        <v>1132.25</v>
      </c>
      <c r="E27" s="12" t="s">
        <v>59</v>
      </c>
      <c r="F27" s="12" t="s">
        <v>60</v>
      </c>
    </row>
    <row r="28" ht="12.75" customHeight="1">
      <c r="A28" s="12"/>
      <c r="B28" s="13"/>
      <c r="C28" s="12"/>
      <c r="D28" s="14">
        <v>0.0</v>
      </c>
      <c r="E28" s="12"/>
      <c r="F28" s="12"/>
    </row>
    <row r="29" ht="12.75" customHeight="1">
      <c r="A29" s="12" t="s">
        <v>61</v>
      </c>
      <c r="B29" s="13">
        <v>42309.0</v>
      </c>
      <c r="C29" s="12" t="s">
        <v>62</v>
      </c>
      <c r="D29" s="14">
        <v>5795.0</v>
      </c>
      <c r="E29" s="12" t="s">
        <v>63</v>
      </c>
      <c r="F29" s="12" t="s">
        <v>18</v>
      </c>
    </row>
    <row r="30" ht="12.75" customHeight="1">
      <c r="A30" s="12"/>
      <c r="B30" s="13"/>
      <c r="C30" s="12"/>
      <c r="D30" s="14">
        <f>D29-5795</f>
        <v>0</v>
      </c>
      <c r="E30" s="12"/>
      <c r="F30" s="12"/>
    </row>
    <row r="31" ht="12.75" customHeight="1">
      <c r="A31" s="12" t="s">
        <v>26</v>
      </c>
      <c r="B31" s="13">
        <v>42346.0</v>
      </c>
      <c r="C31" s="12" t="s">
        <v>64</v>
      </c>
      <c r="D31" s="14">
        <v>24857.13</v>
      </c>
      <c r="E31" s="12" t="s">
        <v>28</v>
      </c>
      <c r="F31" s="19" t="s">
        <v>13</v>
      </c>
    </row>
    <row r="32" ht="12.75" customHeight="1">
      <c r="A32" s="12"/>
      <c r="B32" s="13"/>
      <c r="C32" s="12"/>
      <c r="D32" s="14">
        <v>14031.56</v>
      </c>
      <c r="E32" s="12"/>
    </row>
    <row r="33" ht="12.75" customHeight="1">
      <c r="A33" s="13">
        <v>42898.0</v>
      </c>
      <c r="B33" s="39">
        <v>42920.0</v>
      </c>
      <c r="C33" s="40">
        <v>3614.0</v>
      </c>
      <c r="D33" s="37">
        <f>D32-1473.51</f>
        <v>12558.05</v>
      </c>
      <c r="E33" s="12"/>
    </row>
    <row r="34" ht="12.75" customHeight="1">
      <c r="A34" s="13">
        <v>42928.0</v>
      </c>
      <c r="B34" s="39">
        <v>42944.0</v>
      </c>
      <c r="C34" s="40">
        <v>2655.0</v>
      </c>
      <c r="D34" s="37">
        <v>0.0</v>
      </c>
      <c r="E34" s="12"/>
    </row>
    <row r="35" ht="12.75" customHeight="1">
      <c r="A35" s="13">
        <v>42978.0</v>
      </c>
      <c r="B35" s="39">
        <v>42958.0</v>
      </c>
      <c r="C35" s="40">
        <v>3698.0</v>
      </c>
      <c r="D35" s="37">
        <f>D34-5891.48</f>
        <v>-5891.48</v>
      </c>
      <c r="E35" s="12"/>
    </row>
    <row r="36" ht="12.75" customHeight="1">
      <c r="A36" s="13">
        <v>43052.0</v>
      </c>
      <c r="B36" s="39">
        <v>43060.0</v>
      </c>
      <c r="C36" s="40">
        <v>3849.0</v>
      </c>
      <c r="D36" s="37">
        <f>D35-10900.84</f>
        <v>-16792.32</v>
      </c>
      <c r="E36" s="12"/>
    </row>
    <row r="37" ht="12.75" customHeight="1">
      <c r="A37" s="25" t="s">
        <v>65</v>
      </c>
      <c r="B37" s="26">
        <v>42201.0</v>
      </c>
      <c r="C37" s="25" t="s">
        <v>66</v>
      </c>
      <c r="D37" s="27">
        <v>3950.0</v>
      </c>
      <c r="E37" s="25" t="s">
        <v>67</v>
      </c>
      <c r="F37" s="30" t="s">
        <v>22</v>
      </c>
    </row>
    <row r="38" ht="12.75" customHeight="1">
      <c r="A38" s="1"/>
      <c r="B38" s="20"/>
      <c r="C38" s="1"/>
      <c r="D38" s="10"/>
      <c r="E38" s="1"/>
    </row>
    <row r="39" ht="12.75" customHeight="1">
      <c r="A39" s="25" t="s">
        <v>68</v>
      </c>
      <c r="B39" s="26">
        <v>42150.0</v>
      </c>
      <c r="C39" s="25" t="s">
        <v>69</v>
      </c>
      <c r="D39" s="27">
        <v>399.99</v>
      </c>
      <c r="E39" s="25" t="s">
        <v>70</v>
      </c>
      <c r="F39" s="30" t="s">
        <v>22</v>
      </c>
    </row>
    <row r="40" ht="12.75" customHeight="1">
      <c r="A40" s="1"/>
      <c r="B40" s="20"/>
      <c r="C40" s="1"/>
      <c r="D40" s="10"/>
      <c r="E40" s="1"/>
    </row>
    <row r="41" ht="12.75" customHeight="1">
      <c r="A41" s="25" t="s">
        <v>71</v>
      </c>
      <c r="B41" s="26">
        <v>42356.0</v>
      </c>
      <c r="C41" s="25" t="s">
        <v>72</v>
      </c>
      <c r="D41" s="27">
        <v>19611.41</v>
      </c>
      <c r="E41" s="25" t="s">
        <v>73</v>
      </c>
      <c r="F41" s="30" t="s">
        <v>22</v>
      </c>
    </row>
    <row r="42" ht="12.75" customHeight="1">
      <c r="A42" s="1"/>
      <c r="B42" s="20"/>
      <c r="C42" s="1"/>
      <c r="D42" s="10"/>
      <c r="E42" s="1"/>
    </row>
    <row r="43" ht="12.75" customHeight="1">
      <c r="A43" s="16" t="s">
        <v>74</v>
      </c>
      <c r="B43" s="43">
        <v>42346.0</v>
      </c>
      <c r="C43" s="16" t="s">
        <v>75</v>
      </c>
      <c r="D43" s="18">
        <v>24857.13</v>
      </c>
      <c r="E43" s="16" t="s">
        <v>28</v>
      </c>
    </row>
    <row r="44" ht="12.75" customHeight="1">
      <c r="A44" s="1"/>
      <c r="B44" s="20"/>
      <c r="C44" s="1"/>
      <c r="D44" s="21">
        <f>D43-2645.4</f>
        <v>22211.73</v>
      </c>
      <c r="E44" s="1"/>
    </row>
    <row r="45" ht="12.75" customHeight="1">
      <c r="A45" s="1"/>
      <c r="B45" s="20"/>
      <c r="C45" s="1"/>
      <c r="D45" s="21">
        <v>20068.1</v>
      </c>
      <c r="E45" s="1"/>
    </row>
    <row r="46" ht="12.75" customHeight="1">
      <c r="A46" s="1"/>
      <c r="B46" s="20"/>
      <c r="C46" s="1"/>
      <c r="D46" s="21">
        <f>D45-2533.9</f>
        <v>17534.2</v>
      </c>
      <c r="E46" s="1"/>
    </row>
    <row r="47" ht="12.75" customHeight="1">
      <c r="A47" s="1"/>
      <c r="B47" s="20"/>
      <c r="C47" s="1"/>
      <c r="D47" s="21">
        <f>D46-3200.44</f>
        <v>14333.76</v>
      </c>
      <c r="E47" s="1"/>
    </row>
    <row r="48" ht="12.75" customHeight="1">
      <c r="A48" s="1"/>
      <c r="B48" s="22">
        <v>42782.0</v>
      </c>
      <c r="C48" s="23">
        <v>5884.0</v>
      </c>
      <c r="D48" s="21">
        <f>D47-7741.1</f>
        <v>6592.66</v>
      </c>
      <c r="E48" s="1"/>
    </row>
    <row r="49" ht="12.75" customHeight="1">
      <c r="A49" s="1"/>
      <c r="B49" s="22">
        <v>42802.0</v>
      </c>
      <c r="C49" s="23">
        <v>5938.0</v>
      </c>
      <c r="D49" s="21">
        <f>D48-5012.5</f>
        <v>1580.16</v>
      </c>
      <c r="E49" s="1"/>
    </row>
    <row r="50" ht="12.75" customHeight="1">
      <c r="A50" s="1"/>
      <c r="B50" s="22">
        <v>42837.0</v>
      </c>
      <c r="C50" s="23">
        <v>6047.0</v>
      </c>
      <c r="D50" s="21">
        <v>36.08</v>
      </c>
      <c r="E50" s="1"/>
    </row>
    <row r="51" ht="12.75" customHeight="1">
      <c r="A51" s="1"/>
      <c r="B51" s="22"/>
      <c r="C51" s="23"/>
      <c r="D51" s="27"/>
      <c r="E51" s="1"/>
    </row>
    <row r="52" ht="12.75" customHeight="1">
      <c r="A52" s="12" t="s">
        <v>77</v>
      </c>
      <c r="B52" s="13">
        <v>42346.0</v>
      </c>
      <c r="C52" s="12" t="s">
        <v>78</v>
      </c>
      <c r="D52" s="14">
        <v>44600.0</v>
      </c>
      <c r="E52" s="12" t="s">
        <v>79</v>
      </c>
      <c r="F52" s="1"/>
      <c r="G52" s="1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2"/>
      <c r="B53" s="13">
        <v>42346.0</v>
      </c>
      <c r="C53" s="12" t="s">
        <v>80</v>
      </c>
      <c r="D53" s="14">
        <v>47760.0</v>
      </c>
      <c r="E53" s="12" t="s">
        <v>79</v>
      </c>
    </row>
    <row r="54" ht="12.75" customHeight="1">
      <c r="A54" s="12"/>
      <c r="B54" s="13"/>
      <c r="C54" s="12"/>
      <c r="D54" s="14">
        <f>(D52+D53)-92360</f>
        <v>0</v>
      </c>
      <c r="E54" s="12"/>
    </row>
    <row r="55" ht="12.75" customHeight="1">
      <c r="A55" s="16" t="s">
        <v>77</v>
      </c>
      <c r="B55" s="17">
        <v>42346.0</v>
      </c>
      <c r="C55" s="16" t="s">
        <v>78</v>
      </c>
      <c r="D55" s="18">
        <v>44600.0</v>
      </c>
      <c r="E55" s="16" t="s">
        <v>76</v>
      </c>
    </row>
    <row r="56" ht="12.75" customHeight="1">
      <c r="A56" s="16"/>
      <c r="B56" s="17">
        <v>42346.0</v>
      </c>
      <c r="C56" s="16" t="s">
        <v>80</v>
      </c>
      <c r="D56" s="18">
        <v>47760.0</v>
      </c>
      <c r="E56" s="16" t="s">
        <v>81</v>
      </c>
    </row>
    <row r="57" ht="12.75" customHeight="1">
      <c r="A57" s="25" t="s">
        <v>82</v>
      </c>
      <c r="B57" s="26">
        <v>42261.0</v>
      </c>
      <c r="C57" s="25" t="s">
        <v>83</v>
      </c>
      <c r="D57" s="27">
        <v>322.4</v>
      </c>
      <c r="E57" s="25" t="s">
        <v>84</v>
      </c>
      <c r="F57" s="30" t="s">
        <v>22</v>
      </c>
    </row>
    <row r="58" ht="12.75" customHeight="1">
      <c r="A58" s="1"/>
      <c r="B58" s="20"/>
      <c r="C58" s="1"/>
      <c r="D58" s="10"/>
      <c r="E58" s="1"/>
    </row>
    <row r="59" ht="12.75" customHeight="1">
      <c r="A59" s="12" t="s">
        <v>85</v>
      </c>
      <c r="B59" s="13">
        <v>42346.0</v>
      </c>
      <c r="C59" s="12" t="s">
        <v>86</v>
      </c>
      <c r="D59" s="14">
        <v>1500.7</v>
      </c>
      <c r="E59" s="12" t="s">
        <v>87</v>
      </c>
      <c r="F59" s="1"/>
      <c r="G59" s="1"/>
      <c r="H59" s="1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2"/>
      <c r="B60" s="13"/>
      <c r="C60" s="12"/>
      <c r="D60" s="14">
        <f>D59-1500.7</f>
        <v>0</v>
      </c>
      <c r="E60" s="12"/>
    </row>
    <row r="61" ht="12.75" customHeight="1">
      <c r="A61" s="1"/>
      <c r="B61" s="20"/>
      <c r="C61" s="1"/>
      <c r="D61" s="1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t="s">
        <v>89</v>
      </c>
      <c r="B62" s="13">
        <v>42346.0</v>
      </c>
      <c r="C62" s="12" t="s">
        <v>90</v>
      </c>
      <c r="D62" s="14">
        <v>137970.0</v>
      </c>
      <c r="E62" s="12" t="s">
        <v>91</v>
      </c>
      <c r="F62" s="19" t="s">
        <v>13</v>
      </c>
    </row>
    <row r="63" ht="12.75" customHeight="1">
      <c r="B63" s="13"/>
      <c r="C63" s="12"/>
      <c r="D63" s="14">
        <v>5712.0</v>
      </c>
      <c r="E63" s="12"/>
    </row>
    <row r="64" ht="12.75" customHeight="1">
      <c r="B64" s="13"/>
      <c r="C64" s="12"/>
      <c r="D64" s="14">
        <f>D63-5712</f>
        <v>0</v>
      </c>
      <c r="E64" s="12"/>
    </row>
    <row r="65" ht="12.75" customHeight="1">
      <c r="A65" s="16" t="s">
        <v>89</v>
      </c>
      <c r="B65" s="17">
        <v>42346.0</v>
      </c>
      <c r="C65" s="16" t="s">
        <v>92</v>
      </c>
      <c r="D65" s="18">
        <v>229950.0</v>
      </c>
      <c r="E65" s="16" t="s">
        <v>93</v>
      </c>
      <c r="F65" s="19" t="s">
        <v>13</v>
      </c>
    </row>
    <row r="66" ht="12.75" customHeight="1">
      <c r="A66" s="1"/>
      <c r="B66" s="20"/>
      <c r="D66" s="21">
        <f>D65-41160</f>
        <v>188790</v>
      </c>
      <c r="E66" s="1"/>
    </row>
    <row r="67" ht="12.75" customHeight="1">
      <c r="A67" s="67"/>
      <c r="B67" s="69"/>
      <c r="C67" s="67"/>
      <c r="D67" s="21">
        <f>D66-22159.2</f>
        <v>166630.8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2.75" customHeight="1">
      <c r="A68" s="67"/>
      <c r="B68" s="69"/>
      <c r="C68" s="67"/>
      <c r="D68" s="21">
        <f>D67-15367.8</f>
        <v>151263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2.75" customHeight="1">
      <c r="A69" s="67"/>
      <c r="B69" s="69">
        <v>42835.0</v>
      </c>
      <c r="C69" s="67">
        <v>1139.0</v>
      </c>
      <c r="D69" s="21">
        <f>D68-15429.2</f>
        <v>135833.8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2.75" customHeight="1">
      <c r="A70" s="71">
        <v>42864.0</v>
      </c>
      <c r="B70" s="69">
        <v>42874.0</v>
      </c>
      <c r="C70" s="67">
        <v>1160.0</v>
      </c>
      <c r="D70" s="21">
        <f>D69-17845.8</f>
        <v>117988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2.75" customHeight="1">
      <c r="A71" s="71">
        <v>42907.0</v>
      </c>
      <c r="B71" s="69">
        <v>42920.0</v>
      </c>
      <c r="C71" s="67">
        <v>1191.0</v>
      </c>
      <c r="D71" s="21">
        <f>D70-17644.2</f>
        <v>100343.8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2.75" customHeight="1">
      <c r="A72" s="71">
        <v>42928.0</v>
      </c>
      <c r="B72" s="69">
        <v>42944.0</v>
      </c>
      <c r="C72" s="67">
        <v>1207.0</v>
      </c>
      <c r="D72" s="21">
        <v>219376.0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2.75" customHeight="1">
      <c r="A73" s="71">
        <v>42954.0</v>
      </c>
      <c r="B73" s="69">
        <v>42958.0</v>
      </c>
      <c r="C73" s="67">
        <v>1233.0</v>
      </c>
      <c r="D73" s="21">
        <f>D72-18387.6</f>
        <v>200988.4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2.75" customHeight="1">
      <c r="A74" s="71">
        <v>42989.0</v>
      </c>
      <c r="B74" s="69">
        <v>43000.0</v>
      </c>
      <c r="C74" s="67">
        <v>1258.0</v>
      </c>
      <c r="D74" s="21">
        <f>D73-18379.2</f>
        <v>182609.2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2.75" customHeight="1">
      <c r="A75" s="71">
        <v>43027.0</v>
      </c>
      <c r="B75" s="69">
        <v>43035.0</v>
      </c>
      <c r="C75" s="67">
        <v>1283.0</v>
      </c>
      <c r="D75" s="21">
        <f>D74-17686.2</f>
        <v>164923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2.75" customHeight="1">
      <c r="A76" s="71">
        <v>43046.0</v>
      </c>
      <c r="B76" s="69">
        <v>43060.0</v>
      </c>
      <c r="C76" s="67">
        <v>1295.0</v>
      </c>
      <c r="D76" s="21">
        <f>D75-18211.2</f>
        <v>146711.8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2.75" customHeight="1">
      <c r="A77" s="25" t="s">
        <v>112</v>
      </c>
      <c r="B77" s="26">
        <v>42220.0</v>
      </c>
      <c r="C77" s="25" t="s">
        <v>113</v>
      </c>
      <c r="D77" s="27">
        <v>291.9</v>
      </c>
      <c r="E77" s="25" t="s">
        <v>114</v>
      </c>
      <c r="F77" s="30" t="s">
        <v>22</v>
      </c>
    </row>
    <row r="78" ht="12.75" customHeight="1">
      <c r="A78" s="25"/>
      <c r="B78" s="26">
        <v>42220.0</v>
      </c>
      <c r="C78" s="25" t="s">
        <v>115</v>
      </c>
      <c r="D78" s="27">
        <v>7613.35</v>
      </c>
      <c r="E78" s="25" t="s">
        <v>116</v>
      </c>
      <c r="F78" s="30" t="s">
        <v>22</v>
      </c>
    </row>
    <row r="79" ht="12.75" customHeight="1">
      <c r="A79" s="25" t="s">
        <v>117</v>
      </c>
      <c r="B79" s="26">
        <v>42230.0</v>
      </c>
      <c r="C79" s="25" t="s">
        <v>118</v>
      </c>
      <c r="D79" s="27">
        <v>46383.91</v>
      </c>
      <c r="E79" s="25" t="s">
        <v>119</v>
      </c>
      <c r="F79" s="30" t="s">
        <v>22</v>
      </c>
    </row>
    <row r="80" ht="12.75" customHeight="1">
      <c r="A80" s="1"/>
      <c r="B80" s="20"/>
      <c r="C80" s="1"/>
      <c r="D80" s="10"/>
      <c r="E80" s="1"/>
    </row>
    <row r="81" ht="12.75" customHeight="1">
      <c r="A81" s="12" t="s">
        <v>120</v>
      </c>
      <c r="B81" s="13">
        <v>42346.0</v>
      </c>
      <c r="C81" s="12" t="s">
        <v>121</v>
      </c>
      <c r="D81" s="14">
        <v>206509.62</v>
      </c>
      <c r="E81" s="12" t="s">
        <v>122</v>
      </c>
    </row>
    <row r="82" ht="12.75" customHeight="1">
      <c r="A82" s="12"/>
      <c r="B82" s="13"/>
      <c r="C82" s="12"/>
      <c r="D82" s="14">
        <f>D81-88800</f>
        <v>117709.62</v>
      </c>
      <c r="E82" s="12"/>
    </row>
    <row r="83" ht="12.75" customHeight="1">
      <c r="A83" s="12"/>
      <c r="B83" s="13"/>
      <c r="C83" s="12"/>
      <c r="D83" s="14">
        <f>D82-96000</f>
        <v>21709.62</v>
      </c>
      <c r="E83" s="12"/>
    </row>
    <row r="84" ht="12.75" customHeight="1">
      <c r="A84" s="12"/>
      <c r="B84" s="13"/>
      <c r="C84" s="12"/>
      <c r="D84" s="14">
        <f>D83-21709.62</f>
        <v>0</v>
      </c>
      <c r="E84" s="12"/>
    </row>
    <row r="85" ht="12.75" customHeight="1">
      <c r="A85" s="12" t="s">
        <v>127</v>
      </c>
      <c r="B85" s="13">
        <v>42258.0</v>
      </c>
      <c r="C85" s="12" t="s">
        <v>129</v>
      </c>
      <c r="D85" s="14">
        <v>0.0</v>
      </c>
      <c r="E85" s="12" t="s">
        <v>131</v>
      </c>
      <c r="F85" s="12"/>
    </row>
    <row r="86" ht="12.75" customHeight="1">
      <c r="A86" s="12" t="s">
        <v>132</v>
      </c>
      <c r="B86" s="13">
        <v>42220.0</v>
      </c>
      <c r="C86" s="12" t="s">
        <v>133</v>
      </c>
      <c r="D86" s="14">
        <v>1161.12</v>
      </c>
      <c r="E86" s="12" t="s">
        <v>134</v>
      </c>
    </row>
    <row r="87" ht="12.75" customHeight="1">
      <c r="A87" s="25" t="s">
        <v>132</v>
      </c>
      <c r="B87" s="26">
        <v>42220.0</v>
      </c>
      <c r="C87" s="25" t="s">
        <v>135</v>
      </c>
      <c r="D87" s="27">
        <v>89705.24</v>
      </c>
      <c r="E87" s="25" t="s">
        <v>136</v>
      </c>
      <c r="F87" s="30" t="s">
        <v>22</v>
      </c>
    </row>
    <row r="88" ht="12.75" customHeight="1">
      <c r="A88" s="25"/>
      <c r="B88" s="26"/>
      <c r="C88" s="25"/>
      <c r="D88" s="27">
        <f>D87-88128.6</f>
        <v>1576.64</v>
      </c>
      <c r="E88" s="25"/>
    </row>
    <row r="89" ht="12.75" customHeight="1">
      <c r="A89" s="1" t="s">
        <v>140</v>
      </c>
      <c r="B89" s="13">
        <v>42217.0</v>
      </c>
      <c r="C89" s="12" t="s">
        <v>141</v>
      </c>
      <c r="D89" s="14">
        <v>46700.78</v>
      </c>
      <c r="E89" s="12" t="s">
        <v>142</v>
      </c>
    </row>
    <row r="90" ht="12.75" customHeight="1">
      <c r="A90" s="1"/>
      <c r="B90" s="13">
        <v>42217.0</v>
      </c>
      <c r="C90" s="12" t="s">
        <v>143</v>
      </c>
      <c r="D90" s="14">
        <v>11087.46</v>
      </c>
      <c r="E90" s="12" t="s">
        <v>144</v>
      </c>
    </row>
    <row r="91" ht="12.75" customHeight="1">
      <c r="A91" s="1"/>
      <c r="B91" s="13">
        <v>42353.0</v>
      </c>
      <c r="C91" s="12" t="s">
        <v>145</v>
      </c>
      <c r="D91" s="14">
        <v>100281.87</v>
      </c>
      <c r="E91" s="12" t="s">
        <v>146</v>
      </c>
    </row>
    <row r="92" ht="12.75" customHeight="1">
      <c r="A92" s="1"/>
      <c r="B92" s="72"/>
      <c r="C92" s="12"/>
      <c r="D92" s="14">
        <f>D89+D90+D91</f>
        <v>158070.11</v>
      </c>
      <c r="E92" s="12"/>
    </row>
    <row r="93" ht="12.75" customHeight="1">
      <c r="A93" s="1"/>
      <c r="B93" s="72"/>
      <c r="C93" s="12"/>
      <c r="D93" s="14">
        <f>D92-158070.11</f>
        <v>0</v>
      </c>
      <c r="E93" s="12"/>
    </row>
    <row r="94" ht="12.75" customHeight="1">
      <c r="A94" t="s">
        <v>149</v>
      </c>
      <c r="B94" s="13">
        <v>42346.0</v>
      </c>
      <c r="C94" s="12" t="s">
        <v>150</v>
      </c>
      <c r="D94" s="14">
        <v>12729.32</v>
      </c>
      <c r="E94" s="12" t="s">
        <v>139</v>
      </c>
    </row>
    <row r="95" ht="12.75" customHeight="1">
      <c r="A95" s="1"/>
      <c r="B95" s="13"/>
      <c r="C95" s="12"/>
      <c r="D95" s="14">
        <f>D94-2352.9</f>
        <v>10376.42</v>
      </c>
      <c r="E95" s="12"/>
    </row>
    <row r="96" ht="12.75" customHeight="1">
      <c r="A96" s="1"/>
      <c r="B96" s="13"/>
      <c r="C96" s="12"/>
      <c r="D96" s="14">
        <v>0.0</v>
      </c>
      <c r="E96" s="12"/>
    </row>
    <row r="97" ht="12.75" customHeight="1">
      <c r="A97" s="16" t="s">
        <v>151</v>
      </c>
      <c r="B97" s="17">
        <v>42082.0</v>
      </c>
      <c r="C97" s="16" t="s">
        <v>152</v>
      </c>
      <c r="D97" s="18">
        <v>340.0</v>
      </c>
      <c r="E97" s="16" t="s">
        <v>153</v>
      </c>
      <c r="F97" s="74" t="s">
        <v>154</v>
      </c>
    </row>
    <row r="98" ht="12.75" customHeight="1">
      <c r="A98" s="1"/>
      <c r="B98" s="20"/>
      <c r="C98" s="1"/>
      <c r="D98" s="10"/>
      <c r="E98" s="1"/>
    </row>
    <row r="99" ht="12.75" customHeight="1">
      <c r="A99" s="25" t="s">
        <v>156</v>
      </c>
      <c r="B99" s="26">
        <v>42095.0</v>
      </c>
      <c r="C99" s="25" t="s">
        <v>157</v>
      </c>
      <c r="D99" s="27">
        <v>13080.0</v>
      </c>
      <c r="E99" s="25" t="s">
        <v>158</v>
      </c>
      <c r="F99" s="30" t="s">
        <v>22</v>
      </c>
    </row>
    <row r="100" ht="12.75" customHeight="1">
      <c r="A100" s="1"/>
      <c r="B100" s="20"/>
      <c r="C100" s="1"/>
      <c r="D100" s="10"/>
      <c r="E100" s="1"/>
    </row>
    <row r="101" ht="12.75" customHeight="1">
      <c r="A101" s="25" t="s">
        <v>159</v>
      </c>
      <c r="B101" s="26">
        <v>42233.0</v>
      </c>
      <c r="C101" s="25" t="s">
        <v>160</v>
      </c>
      <c r="D101" s="27">
        <v>53127.0</v>
      </c>
      <c r="E101" s="25" t="s">
        <v>161</v>
      </c>
      <c r="F101" s="30" t="s">
        <v>22</v>
      </c>
    </row>
    <row r="102" ht="12.75" customHeight="1">
      <c r="A102" s="1"/>
      <c r="B102" s="5"/>
      <c r="C102" s="1"/>
      <c r="D102" s="10"/>
      <c r="E102" s="1"/>
    </row>
    <row r="103" ht="12.75" customHeight="1">
      <c r="A103" s="16" t="s">
        <v>147</v>
      </c>
      <c r="B103" s="43">
        <v>42346.0</v>
      </c>
      <c r="C103" s="16" t="s">
        <v>162</v>
      </c>
      <c r="D103" s="18">
        <v>47760.0</v>
      </c>
      <c r="E103" s="16" t="s">
        <v>81</v>
      </c>
    </row>
    <row r="104" ht="12.75" customHeight="1">
      <c r="A104" s="1"/>
      <c r="B104" s="5"/>
      <c r="C104" s="1"/>
      <c r="D104" s="10"/>
      <c r="E104" s="1"/>
    </row>
    <row r="105" ht="12.75" customHeight="1">
      <c r="A105" s="1"/>
      <c r="B105" s="20"/>
      <c r="C105" s="1"/>
      <c r="D105" s="10"/>
      <c r="E105" s="1"/>
    </row>
    <row r="106" ht="12.75" customHeight="1">
      <c r="A106" s="12" t="s">
        <v>164</v>
      </c>
      <c r="B106" s="13">
        <v>42220.0</v>
      </c>
      <c r="C106" s="12" t="s">
        <v>167</v>
      </c>
      <c r="D106" s="14">
        <v>5594.4</v>
      </c>
      <c r="E106" s="12" t="s">
        <v>168</v>
      </c>
      <c r="F106" s="75" t="s">
        <v>170</v>
      </c>
    </row>
    <row r="107" ht="12.75" customHeight="1">
      <c r="A107" s="12"/>
      <c r="B107" s="13"/>
      <c r="C107" s="12"/>
      <c r="D107" s="14">
        <f>D106-5594.4</f>
        <v>0</v>
      </c>
      <c r="E107" s="12"/>
    </row>
    <row r="108" ht="12.75" customHeight="1">
      <c r="A108" s="12" t="s">
        <v>173</v>
      </c>
      <c r="B108" s="13">
        <v>42309.0</v>
      </c>
      <c r="C108" s="12" t="s">
        <v>174</v>
      </c>
      <c r="D108" s="14">
        <v>12200.0</v>
      </c>
      <c r="E108" s="12" t="s">
        <v>175</v>
      </c>
    </row>
    <row r="109" ht="12.75" customHeight="1">
      <c r="A109" s="12"/>
      <c r="B109" s="13"/>
      <c r="C109" s="12"/>
      <c r="D109" s="14">
        <f>D108-12200</f>
        <v>0</v>
      </c>
      <c r="E109" s="12"/>
    </row>
    <row r="110" ht="12.75" customHeight="1">
      <c r="A110" s="25" t="s">
        <v>180</v>
      </c>
      <c r="B110" s="26">
        <v>42152.0</v>
      </c>
      <c r="C110" s="25" t="s">
        <v>182</v>
      </c>
      <c r="D110" s="27">
        <v>20313.5</v>
      </c>
      <c r="E110" s="25" t="s">
        <v>54</v>
      </c>
      <c r="F110" s="30" t="s">
        <v>22</v>
      </c>
    </row>
    <row r="111" ht="12.75" customHeight="1">
      <c r="A111" s="1"/>
      <c r="B111" s="5"/>
      <c r="C111" s="1"/>
      <c r="D111" s="10"/>
      <c r="E111" s="1"/>
    </row>
    <row r="112" ht="12.75" customHeight="1">
      <c r="A112" s="25" t="s">
        <v>183</v>
      </c>
      <c r="B112" s="26">
        <v>42356.0</v>
      </c>
      <c r="C112" s="25" t="s">
        <v>184</v>
      </c>
      <c r="D112" s="27">
        <v>12401.27</v>
      </c>
      <c r="E112" s="25" t="s">
        <v>185</v>
      </c>
      <c r="F112" s="79" t="s">
        <v>22</v>
      </c>
    </row>
    <row r="113" ht="12.75" customHeight="1">
      <c r="A113" s="25"/>
      <c r="B113" s="26"/>
      <c r="C113" s="25"/>
      <c r="D113" s="27">
        <f>D112-1377.91</f>
        <v>11023.36</v>
      </c>
      <c r="E113" s="25"/>
      <c r="F113" s="80"/>
    </row>
    <row r="114" ht="12.75" customHeight="1">
      <c r="A114" s="25" t="s">
        <v>191</v>
      </c>
      <c r="B114" s="26">
        <v>42220.0</v>
      </c>
      <c r="C114" s="25" t="s">
        <v>192</v>
      </c>
      <c r="D114" s="27">
        <v>23404.5</v>
      </c>
      <c r="E114" s="25" t="s">
        <v>134</v>
      </c>
      <c r="F114" s="30" t="s">
        <v>22</v>
      </c>
    </row>
    <row r="115" ht="12.75" customHeight="1">
      <c r="A115" s="1"/>
      <c r="B115" s="20"/>
      <c r="C115" s="1"/>
      <c r="D115" s="21"/>
    </row>
    <row r="116" ht="12.75" customHeight="1">
      <c r="A116" s="1"/>
      <c r="B116" s="20"/>
      <c r="C116" s="1"/>
      <c r="D116" s="10"/>
      <c r="E116" s="1"/>
    </row>
    <row r="117" ht="12.75" customHeight="1">
      <c r="A117" t="s">
        <v>193</v>
      </c>
      <c r="B117" s="13">
        <v>42132.0</v>
      </c>
      <c r="C117" s="12" t="s">
        <v>194</v>
      </c>
      <c r="D117" s="14">
        <v>153265.01</v>
      </c>
      <c r="E117" s="12" t="s">
        <v>196</v>
      </c>
    </row>
    <row r="118" ht="12.75" customHeight="1">
      <c r="A118" s="1"/>
      <c r="B118" s="13"/>
      <c r="C118" s="12"/>
      <c r="D118" s="14">
        <f>D117-142265.84</f>
        <v>10999.17</v>
      </c>
      <c r="E118" s="12"/>
    </row>
    <row r="119" ht="12.75" customHeight="1">
      <c r="A119" s="1"/>
      <c r="B119" s="13"/>
      <c r="C119" s="12"/>
      <c r="D119" s="14">
        <f>D118-D118</f>
        <v>0</v>
      </c>
      <c r="E119" s="12"/>
    </row>
    <row r="120" ht="12.75" customHeight="1">
      <c r="A120" s="25" t="s">
        <v>198</v>
      </c>
      <c r="B120" s="26">
        <v>42292.0</v>
      </c>
      <c r="C120" s="25" t="s">
        <v>199</v>
      </c>
      <c r="D120" s="27">
        <v>11726.0</v>
      </c>
      <c r="E120" s="25" t="s">
        <v>200</v>
      </c>
      <c r="F120" s="30" t="s">
        <v>22</v>
      </c>
    </row>
    <row r="121" ht="12.75" customHeight="1">
      <c r="A121" s="1"/>
      <c r="B121" s="5"/>
      <c r="C121" s="1"/>
      <c r="D121" s="10"/>
      <c r="E121" s="1"/>
    </row>
    <row r="122" ht="12.75" customHeight="1">
      <c r="A122" s="12" t="s">
        <v>201</v>
      </c>
      <c r="B122" s="13">
        <v>42346.0</v>
      </c>
      <c r="C122" s="12" t="s">
        <v>202</v>
      </c>
      <c r="D122" s="14">
        <v>276619.82</v>
      </c>
      <c r="E122" s="12" t="s">
        <v>203</v>
      </c>
      <c r="F122" s="12" t="s">
        <v>13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2.75" customHeight="1">
      <c r="A123" s="12"/>
      <c r="B123" s="13"/>
      <c r="C123" s="12"/>
      <c r="D123" s="14">
        <v>201333.11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2.75" customHeight="1">
      <c r="A124" s="36">
        <v>42928.0</v>
      </c>
      <c r="B124" s="39">
        <v>42944.0</v>
      </c>
      <c r="C124" s="40">
        <v>452.0</v>
      </c>
      <c r="D124" s="37">
        <v>189759.42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2.75" customHeight="1">
      <c r="A125" s="36">
        <v>42956.0</v>
      </c>
      <c r="B125" s="39">
        <v>42962.0</v>
      </c>
      <c r="C125" s="40">
        <v>463.0</v>
      </c>
      <c r="D125" s="37">
        <f>D124-62080.81</f>
        <v>127678.61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2.75" customHeight="1">
      <c r="A126" s="36">
        <v>42985.0</v>
      </c>
      <c r="B126" s="39">
        <v>43000.0</v>
      </c>
      <c r="C126" s="40">
        <v>469.0</v>
      </c>
      <c r="D126" s="37">
        <f>D125-28533.75</f>
        <v>99144.86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2.75" customHeight="1">
      <c r="A127" s="36">
        <v>43018.0</v>
      </c>
      <c r="B127" s="39">
        <v>43033.0</v>
      </c>
      <c r="C127" s="40">
        <v>476.0</v>
      </c>
      <c r="D127" s="37">
        <f>D126-68462.25</f>
        <v>30682.61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2.75" customHeight="1">
      <c r="A128" s="36">
        <v>43049.0</v>
      </c>
      <c r="B128" s="39">
        <v>43060.0</v>
      </c>
      <c r="C128" s="40">
        <v>481.0</v>
      </c>
      <c r="D128" s="37">
        <f>D127-D127</f>
        <v>0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2.75" customHeight="1">
      <c r="A129" s="25" t="s">
        <v>205</v>
      </c>
      <c r="B129" s="26">
        <v>42346.0</v>
      </c>
      <c r="C129" s="25" t="s">
        <v>206</v>
      </c>
      <c r="D129" s="27">
        <v>36666.0</v>
      </c>
      <c r="E129" s="25" t="s">
        <v>207</v>
      </c>
      <c r="F129" s="30" t="s">
        <v>22</v>
      </c>
    </row>
    <row r="130" ht="12.75" customHeight="1">
      <c r="A130" s="25"/>
      <c r="B130" s="26"/>
      <c r="C130" s="25"/>
      <c r="D130" s="27">
        <f>D129-420</f>
        <v>36246</v>
      </c>
      <c r="E130" s="25"/>
    </row>
    <row r="131" ht="12.75" customHeight="1">
      <c r="A131" s="25"/>
      <c r="B131" s="26">
        <v>42346.0</v>
      </c>
      <c r="C131" s="25" t="s">
        <v>208</v>
      </c>
      <c r="D131" s="27">
        <v>43923.96</v>
      </c>
      <c r="E131" s="25" t="s">
        <v>209</v>
      </c>
      <c r="F131" s="30" t="s">
        <v>22</v>
      </c>
    </row>
    <row r="132" ht="12.75" customHeight="1">
      <c r="A132" s="25"/>
      <c r="B132" s="26"/>
      <c r="C132" s="25"/>
      <c r="D132" s="27">
        <f>D131-168</f>
        <v>43755.96</v>
      </c>
      <c r="E132" s="25"/>
    </row>
    <row r="133" ht="12.75" customHeight="1">
      <c r="A133" s="25"/>
      <c r="B133" s="26"/>
      <c r="C133" s="25"/>
      <c r="D133" s="27">
        <f>D132-338.34</f>
        <v>43417.62</v>
      </c>
      <c r="E133" s="25"/>
    </row>
    <row r="134" ht="12.75" customHeight="1">
      <c r="A134" s="25"/>
      <c r="B134" s="26"/>
      <c r="C134" s="25"/>
      <c r="D134" s="27"/>
      <c r="E134" s="25"/>
    </row>
    <row r="135" ht="12.75" customHeight="1">
      <c r="A135" s="25"/>
      <c r="B135" s="26">
        <v>42346.0</v>
      </c>
      <c r="C135" s="25" t="s">
        <v>216</v>
      </c>
      <c r="D135" s="27">
        <v>116273.65</v>
      </c>
      <c r="E135" s="25" t="s">
        <v>217</v>
      </c>
      <c r="F135" s="30" t="s">
        <v>22</v>
      </c>
    </row>
    <row r="136" ht="12.75" customHeight="1">
      <c r="A136" s="25"/>
      <c r="B136" s="26"/>
      <c r="C136" s="25"/>
      <c r="D136" s="27">
        <f>D135-2520</f>
        <v>113753.65</v>
      </c>
      <c r="E136" s="25"/>
    </row>
    <row r="137" ht="12.75" customHeight="1">
      <c r="A137" s="25"/>
      <c r="B137" s="26"/>
      <c r="C137" s="25"/>
      <c r="D137" s="27">
        <f>D136-10310.76</f>
        <v>103442.89</v>
      </c>
      <c r="E137" s="25"/>
    </row>
    <row r="138" ht="12.75" customHeight="1">
      <c r="A138" s="25"/>
      <c r="B138" s="26">
        <v>42346.0</v>
      </c>
      <c r="C138" s="25" t="s">
        <v>220</v>
      </c>
      <c r="D138" s="27">
        <v>44377.07</v>
      </c>
      <c r="E138" s="25" t="s">
        <v>221</v>
      </c>
      <c r="F138" s="30" t="s">
        <v>22</v>
      </c>
    </row>
    <row r="139" ht="12.75" customHeight="1">
      <c r="A139" s="25"/>
      <c r="B139" s="26"/>
      <c r="C139" s="25"/>
      <c r="D139" s="27">
        <f>D138-4016.25</f>
        <v>40360.82</v>
      </c>
      <c r="E139" s="25"/>
    </row>
    <row r="140" ht="12.75" customHeight="1">
      <c r="A140" s="25"/>
      <c r="B140" s="26"/>
      <c r="C140" s="25"/>
      <c r="D140" s="27">
        <f>D139-7467.93</f>
        <v>32892.89</v>
      </c>
      <c r="E140" s="25"/>
    </row>
    <row r="141" ht="12.75" customHeight="1">
      <c r="A141" s="25"/>
      <c r="B141" s="26"/>
      <c r="C141" s="25"/>
      <c r="D141" s="27">
        <f>D140-840</f>
        <v>32052.89</v>
      </c>
      <c r="E141" s="25"/>
    </row>
    <row r="142" ht="12.75" customHeight="1">
      <c r="A142" s="25"/>
      <c r="B142" s="26">
        <v>42346.0</v>
      </c>
      <c r="C142" s="25" t="s">
        <v>222</v>
      </c>
      <c r="D142" s="27">
        <v>34896.29</v>
      </c>
      <c r="E142" s="25" t="s">
        <v>223</v>
      </c>
      <c r="F142" s="30" t="s">
        <v>22</v>
      </c>
    </row>
    <row r="143" ht="12.75" customHeight="1">
      <c r="A143" s="25"/>
      <c r="B143" s="26"/>
      <c r="C143" s="25"/>
      <c r="D143" s="27">
        <f>D142-17649.44</f>
        <v>17246.85</v>
      </c>
      <c r="E143" s="25"/>
    </row>
    <row r="144" ht="12.75" customHeight="1">
      <c r="A144" s="90" t="s">
        <v>224</v>
      </c>
      <c r="B144" s="26"/>
      <c r="C144" s="25"/>
      <c r="D144" s="27">
        <v>36.06</v>
      </c>
      <c r="E144" s="25"/>
    </row>
    <row r="145" ht="12.75" customHeight="1">
      <c r="A145" s="25"/>
      <c r="B145" s="26">
        <v>42346.0</v>
      </c>
      <c r="C145" s="25" t="s">
        <v>227</v>
      </c>
      <c r="D145" s="27">
        <v>43923.96</v>
      </c>
      <c r="E145" s="25" t="s">
        <v>228</v>
      </c>
      <c r="F145" s="30" t="s">
        <v>22</v>
      </c>
    </row>
    <row r="146" ht="12.75" customHeight="1">
      <c r="A146" s="25"/>
      <c r="B146" s="26"/>
      <c r="C146" s="25"/>
      <c r="D146" s="27">
        <f>D145-168</f>
        <v>43755.96</v>
      </c>
      <c r="E146" s="25"/>
    </row>
    <row r="147" ht="12.75" customHeight="1">
      <c r="A147" s="25"/>
      <c r="B147" s="26">
        <v>42346.0</v>
      </c>
      <c r="C147" s="25" t="s">
        <v>229</v>
      </c>
      <c r="D147" s="27">
        <v>44600.0</v>
      </c>
      <c r="E147" s="25" t="s">
        <v>230</v>
      </c>
      <c r="F147" s="30" t="s">
        <v>22</v>
      </c>
    </row>
    <row r="148" ht="12.75" customHeight="1">
      <c r="A148" s="25"/>
      <c r="B148" s="26">
        <v>42346.0</v>
      </c>
      <c r="C148" s="25" t="s">
        <v>231</v>
      </c>
      <c r="D148" s="27">
        <v>39260.0</v>
      </c>
      <c r="E148" s="25" t="s">
        <v>232</v>
      </c>
      <c r="F148" s="30" t="s">
        <v>22</v>
      </c>
    </row>
    <row r="149" ht="12.75" customHeight="1">
      <c r="A149" s="25"/>
      <c r="B149" s="26"/>
      <c r="C149" s="25"/>
      <c r="D149" s="27"/>
      <c r="E149" s="25"/>
    </row>
    <row r="150" ht="12.75" customHeight="1">
      <c r="A150" s="25"/>
      <c r="B150" s="26">
        <v>42346.0</v>
      </c>
      <c r="C150" s="25" t="s">
        <v>233</v>
      </c>
      <c r="D150" s="27">
        <v>252262.5</v>
      </c>
      <c r="E150" s="25" t="s">
        <v>234</v>
      </c>
      <c r="F150" s="30" t="s">
        <v>22</v>
      </c>
    </row>
    <row r="151" ht="12.75" customHeight="1">
      <c r="A151" s="25"/>
      <c r="B151" s="26"/>
      <c r="C151" s="25"/>
      <c r="D151" s="27">
        <v>3917.3</v>
      </c>
      <c r="E151" s="25"/>
    </row>
    <row r="152" ht="12.75" customHeight="1">
      <c r="A152" s="25"/>
      <c r="B152" s="26"/>
      <c r="C152" s="25"/>
      <c r="D152" s="27">
        <f>D151-156</f>
        <v>3761.3</v>
      </c>
      <c r="E152" s="25"/>
    </row>
    <row r="153" ht="12.75" customHeight="1">
      <c r="A153" s="25"/>
      <c r="B153" s="25"/>
      <c r="C153" s="25"/>
      <c r="D153" s="27">
        <f>D151-390</f>
        <v>3527.3</v>
      </c>
      <c r="E153" s="25"/>
    </row>
    <row r="154" ht="12.75" customHeight="1">
      <c r="A154" s="25"/>
      <c r="B154" s="26">
        <v>42346.0</v>
      </c>
      <c r="C154" s="25" t="s">
        <v>235</v>
      </c>
      <c r="D154" s="27">
        <v>6583.42</v>
      </c>
      <c r="E154" s="25" t="s">
        <v>236</v>
      </c>
      <c r="F154" s="30" t="s">
        <v>22</v>
      </c>
    </row>
    <row r="155" ht="12.75" customHeight="1">
      <c r="A155" s="90" t="s">
        <v>237</v>
      </c>
      <c r="B155" s="25"/>
      <c r="C155" s="25"/>
      <c r="D155" s="27">
        <f>D154-5690.39</f>
        <v>893.03</v>
      </c>
      <c r="E155" s="25"/>
    </row>
    <row r="156" ht="12.75" customHeight="1">
      <c r="A156" s="25"/>
      <c r="B156" s="26">
        <v>42346.0</v>
      </c>
      <c r="C156" s="25" t="s">
        <v>238</v>
      </c>
      <c r="D156" s="27">
        <v>24857.13</v>
      </c>
      <c r="E156" s="25" t="s">
        <v>28</v>
      </c>
      <c r="F156" s="30" t="s">
        <v>22</v>
      </c>
    </row>
    <row r="157" ht="12.75" customHeight="1">
      <c r="A157" s="25"/>
      <c r="B157" s="26">
        <v>42346.0</v>
      </c>
      <c r="C157" s="25" t="s">
        <v>239</v>
      </c>
      <c r="D157" s="27">
        <v>400.0</v>
      </c>
      <c r="E157" s="25" t="s">
        <v>240</v>
      </c>
      <c r="F157" s="30" t="s">
        <v>22</v>
      </c>
    </row>
    <row r="158" ht="12.75" customHeight="1">
      <c r="A158" s="25"/>
      <c r="B158" s="25"/>
      <c r="C158" s="25"/>
      <c r="D158" s="27">
        <f>D157-400</f>
        <v>0</v>
      </c>
      <c r="E158" s="25"/>
    </row>
    <row r="159" ht="12.75" customHeight="1">
      <c r="A159" s="25"/>
      <c r="B159" s="26">
        <v>42346.0</v>
      </c>
      <c r="C159" s="25" t="s">
        <v>241</v>
      </c>
      <c r="D159" s="27">
        <v>238229.57</v>
      </c>
      <c r="E159" s="25" t="s">
        <v>203</v>
      </c>
      <c r="F159" s="30" t="s">
        <v>22</v>
      </c>
    </row>
    <row r="160" ht="12.75" customHeight="1">
      <c r="A160" s="25"/>
      <c r="B160" s="26"/>
      <c r="C160" s="25"/>
      <c r="D160" s="27">
        <f>D159-19218.8-61639.51</f>
        <v>157371.26</v>
      </c>
      <c r="E160" s="25"/>
    </row>
    <row r="161" ht="12.75" customHeight="1">
      <c r="A161" s="25"/>
      <c r="B161" s="26"/>
      <c r="C161" s="25"/>
      <c r="D161" s="27">
        <f>D160-17072.85</f>
        <v>140298.41</v>
      </c>
      <c r="E161" s="25"/>
    </row>
    <row r="162" ht="12.75" customHeight="1">
      <c r="A162" s="25" t="s">
        <v>244</v>
      </c>
      <c r="B162" s="26">
        <v>42135.0</v>
      </c>
      <c r="C162" s="25" t="s">
        <v>245</v>
      </c>
      <c r="D162" s="27">
        <v>581.85</v>
      </c>
      <c r="E162" s="25" t="s">
        <v>246</v>
      </c>
      <c r="F162" s="30" t="s">
        <v>22</v>
      </c>
    </row>
    <row r="163" ht="12.75" customHeight="1">
      <c r="A163" s="1"/>
      <c r="B163" s="20"/>
      <c r="C163" s="1"/>
      <c r="D163" s="10"/>
      <c r="E163" s="1"/>
    </row>
    <row r="164" ht="12.75" customHeight="1">
      <c r="A164" s="1" t="s">
        <v>195</v>
      </c>
      <c r="B164" s="17">
        <v>42346.0</v>
      </c>
      <c r="C164" s="16" t="s">
        <v>247</v>
      </c>
      <c r="D164" s="18">
        <v>44600.0</v>
      </c>
      <c r="E164" s="16" t="s">
        <v>76</v>
      </c>
    </row>
    <row r="165" ht="12.75" customHeight="1">
      <c r="A165" s="1"/>
      <c r="B165" s="17"/>
      <c r="C165" s="16"/>
      <c r="D165" s="18"/>
      <c r="E165" s="16"/>
    </row>
    <row r="166" ht="12.75" customHeight="1">
      <c r="A166" s="1"/>
      <c r="B166" s="13">
        <v>42346.0</v>
      </c>
      <c r="C166" s="12" t="s">
        <v>248</v>
      </c>
      <c r="D166" s="14">
        <v>2276.0</v>
      </c>
      <c r="E166" s="12" t="s">
        <v>230</v>
      </c>
    </row>
    <row r="167" ht="12.75" customHeight="1">
      <c r="A167" s="1"/>
      <c r="B167" s="13"/>
      <c r="C167" s="12"/>
      <c r="D167" s="14">
        <f>D166-2276</f>
        <v>0</v>
      </c>
      <c r="E167" s="12"/>
    </row>
    <row r="168" ht="12.75" customHeight="1">
      <c r="A168" s="1"/>
      <c r="B168" s="20"/>
      <c r="C168" s="1"/>
      <c r="D168" s="10"/>
      <c r="E168" s="1"/>
    </row>
    <row r="169" ht="12.75" customHeight="1">
      <c r="A169" s="25" t="s">
        <v>249</v>
      </c>
      <c r="B169" s="26">
        <v>42089.0</v>
      </c>
      <c r="C169" s="25" t="s">
        <v>250</v>
      </c>
      <c r="D169" s="27">
        <v>11198.0</v>
      </c>
      <c r="E169" s="25" t="s">
        <v>251</v>
      </c>
      <c r="F169" s="30" t="s">
        <v>22</v>
      </c>
    </row>
    <row r="170" ht="12.75" customHeight="1">
      <c r="A170" s="1"/>
      <c r="B170" s="20"/>
      <c r="C170" s="1"/>
      <c r="D170" s="10"/>
      <c r="E170" s="1"/>
    </row>
    <row r="171" ht="12.75" customHeight="1">
      <c r="A171" s="25" t="s">
        <v>252</v>
      </c>
      <c r="B171" s="26">
        <v>42188.0</v>
      </c>
      <c r="C171" s="25" t="s">
        <v>253</v>
      </c>
      <c r="D171" s="27">
        <v>4182.0</v>
      </c>
      <c r="E171" s="25" t="s">
        <v>254</v>
      </c>
      <c r="F171" s="30" t="s">
        <v>22</v>
      </c>
    </row>
    <row r="172" ht="12.75" customHeight="1">
      <c r="A172" s="1"/>
      <c r="B172" s="20"/>
      <c r="C172" s="1"/>
      <c r="D172" s="10"/>
      <c r="E172" s="1"/>
    </row>
    <row r="173" ht="12.75" customHeight="1">
      <c r="A173" s="25" t="s">
        <v>255</v>
      </c>
      <c r="B173" s="26">
        <v>42208.0</v>
      </c>
      <c r="C173" s="25" t="s">
        <v>256</v>
      </c>
      <c r="D173" s="27">
        <v>21989.76</v>
      </c>
      <c r="E173" s="25" t="s">
        <v>257</v>
      </c>
      <c r="F173" s="30" t="s">
        <v>22</v>
      </c>
    </row>
    <row r="174" ht="12.75" customHeight="1">
      <c r="A174" s="1"/>
      <c r="B174" s="20"/>
      <c r="C174" s="1"/>
      <c r="D174" s="10"/>
      <c r="E174" s="1"/>
    </row>
    <row r="175" ht="12.75" customHeight="1">
      <c r="A175" s="25" t="s">
        <v>258</v>
      </c>
      <c r="B175" s="26">
        <v>42248.0</v>
      </c>
      <c r="C175" s="25" t="s">
        <v>259</v>
      </c>
      <c r="D175" s="27">
        <v>27122.6</v>
      </c>
      <c r="E175" s="25" t="s">
        <v>260</v>
      </c>
      <c r="F175" s="30" t="s">
        <v>22</v>
      </c>
    </row>
    <row r="176" ht="12.75" customHeight="1">
      <c r="A176" s="1"/>
      <c r="B176" s="20"/>
      <c r="C176" s="1"/>
      <c r="D176" s="10"/>
      <c r="E176" s="1"/>
    </row>
    <row r="177" ht="12.75" customHeight="1">
      <c r="A177" s="25" t="s">
        <v>261</v>
      </c>
      <c r="B177" s="26">
        <v>42089.0</v>
      </c>
      <c r="C177" s="25" t="s">
        <v>262</v>
      </c>
      <c r="D177" s="27">
        <v>176.35</v>
      </c>
      <c r="E177" s="25" t="s">
        <v>263</v>
      </c>
      <c r="F177" s="30" t="s">
        <v>22</v>
      </c>
    </row>
    <row r="178" ht="12.75" customHeight="1">
      <c r="A178" s="1"/>
      <c r="B178" s="13">
        <v>42309.0</v>
      </c>
      <c r="C178" s="12" t="s">
        <v>310</v>
      </c>
      <c r="D178" s="14">
        <v>2250.0</v>
      </c>
      <c r="E178" s="12" t="s">
        <v>311</v>
      </c>
      <c r="F178" s="67"/>
    </row>
    <row r="179" ht="12.75" customHeight="1">
      <c r="A179" s="1"/>
      <c r="B179" s="13"/>
      <c r="C179" s="12"/>
      <c r="D179" s="14">
        <f>D178-2250</f>
        <v>0</v>
      </c>
      <c r="E179" s="12"/>
      <c r="F179" s="74"/>
    </row>
    <row r="180" ht="12.75" customHeight="1">
      <c r="A180" s="1"/>
      <c r="B180" s="13">
        <v>42354.0</v>
      </c>
      <c r="C180" s="12" t="s">
        <v>312</v>
      </c>
      <c r="D180" s="14">
        <v>13787.08</v>
      </c>
      <c r="E180" s="12" t="s">
        <v>313</v>
      </c>
      <c r="F180" s="74" t="s">
        <v>314</v>
      </c>
    </row>
    <row r="181" ht="12.75" customHeight="1">
      <c r="A181" s="1"/>
      <c r="B181" s="13"/>
      <c r="C181" s="12"/>
      <c r="D181" s="14">
        <f>D180-6328.22</f>
        <v>7458.86</v>
      </c>
      <c r="E181" s="12"/>
    </row>
    <row r="182" ht="12.75" customHeight="1">
      <c r="A182" s="1"/>
      <c r="B182" s="12"/>
      <c r="C182" s="12"/>
      <c r="D182" s="14">
        <f>D181-7458.86</f>
        <v>0</v>
      </c>
      <c r="E182" s="12"/>
    </row>
    <row r="183" ht="12.75" customHeight="1">
      <c r="A183" s="1"/>
      <c r="B183" s="20"/>
      <c r="C183" s="1"/>
      <c r="D183" s="10"/>
      <c r="E183" s="1"/>
    </row>
    <row r="184" ht="12.75" customHeight="1">
      <c r="A184" s="25" t="s">
        <v>315</v>
      </c>
      <c r="B184" s="26">
        <v>42163.0</v>
      </c>
      <c r="C184" s="25" t="s">
        <v>316</v>
      </c>
      <c r="D184" s="27">
        <v>3509.79</v>
      </c>
      <c r="E184" s="25" t="s">
        <v>317</v>
      </c>
      <c r="F184" s="30" t="s">
        <v>22</v>
      </c>
    </row>
    <row r="185" ht="12.75" customHeight="1">
      <c r="A185" s="1"/>
      <c r="B185" s="20"/>
      <c r="C185" s="1"/>
      <c r="D185" s="10"/>
      <c r="E185" s="1"/>
    </row>
    <row r="186" ht="12.75" customHeight="1">
      <c r="A186" t="s">
        <v>285</v>
      </c>
      <c r="B186" s="17">
        <v>42346.0</v>
      </c>
      <c r="C186" s="16" t="s">
        <v>318</v>
      </c>
      <c r="D186" s="18">
        <v>276719.82</v>
      </c>
      <c r="E186" s="16" t="s">
        <v>203</v>
      </c>
      <c r="F186" s="19" t="s">
        <v>13</v>
      </c>
    </row>
    <row r="187" ht="12.75" customHeight="1">
      <c r="A187" s="81">
        <v>42906.0</v>
      </c>
      <c r="B187" s="82">
        <v>42920.0</v>
      </c>
      <c r="C187" s="83">
        <v>4657.0</v>
      </c>
      <c r="D187" s="21">
        <f>D186-37728.09</f>
        <v>238991.73</v>
      </c>
      <c r="E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81">
        <v>42927.0</v>
      </c>
      <c r="B188" s="82">
        <v>42930.0</v>
      </c>
      <c r="C188" s="83">
        <v>4676.0</v>
      </c>
      <c r="D188" s="21">
        <v>99275.33</v>
      </c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81">
        <v>42955.0</v>
      </c>
      <c r="B189" s="82">
        <v>42971.0</v>
      </c>
      <c r="C189" s="83">
        <v>4696.0</v>
      </c>
      <c r="D189" s="21">
        <f>D188-54405.7</f>
        <v>44869.63</v>
      </c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81">
        <v>42989.0</v>
      </c>
      <c r="B190" s="82">
        <v>43000.0</v>
      </c>
      <c r="C190" s="83">
        <v>4710.0</v>
      </c>
      <c r="D190" s="27">
        <f>D189-49487.65</f>
        <v>-4618.02</v>
      </c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t="s">
        <v>319</v>
      </c>
      <c r="B191" s="13">
        <v>42346.0</v>
      </c>
      <c r="C191" s="12" t="s">
        <v>320</v>
      </c>
      <c r="D191" s="14">
        <v>2200.0</v>
      </c>
      <c r="E191" s="12"/>
      <c r="F191" s="74"/>
    </row>
    <row r="192" ht="12.75" customHeight="1">
      <c r="A192" s="1"/>
      <c r="B192" s="13"/>
      <c r="C192" s="12"/>
      <c r="D192" s="14">
        <f>D191-2200</f>
        <v>0</v>
      </c>
      <c r="E192" s="12" t="s">
        <v>321</v>
      </c>
      <c r="F192" s="74"/>
    </row>
    <row r="193" ht="12.75" customHeight="1">
      <c r="A193" t="s">
        <v>287</v>
      </c>
      <c r="B193" s="13">
        <v>42306.0</v>
      </c>
      <c r="C193" s="12" t="s">
        <v>322</v>
      </c>
      <c r="D193" s="14">
        <v>4000.0</v>
      </c>
      <c r="E193" s="12"/>
    </row>
    <row r="194" ht="12.75" customHeight="1">
      <c r="A194" s="1"/>
      <c r="B194" s="13">
        <v>42346.0</v>
      </c>
      <c r="C194" s="12" t="s">
        <v>323</v>
      </c>
      <c r="D194" s="14">
        <v>1448.02</v>
      </c>
      <c r="E194" s="12"/>
    </row>
    <row r="195" ht="12.75" customHeight="1">
      <c r="A195" s="1"/>
      <c r="B195" s="13"/>
      <c r="C195" s="12"/>
      <c r="D195" s="14">
        <f>D193+D194</f>
        <v>5448.02</v>
      </c>
      <c r="E195" s="12"/>
    </row>
    <row r="196" ht="12.75" customHeight="1">
      <c r="A196" s="1"/>
      <c r="B196" s="13"/>
      <c r="C196" s="12"/>
      <c r="D196" s="14">
        <f>D195-D195</f>
        <v>0</v>
      </c>
      <c r="E196" s="12"/>
    </row>
    <row r="197" ht="12.75" customHeight="1">
      <c r="A197" s="25" t="s">
        <v>324</v>
      </c>
      <c r="B197" s="26">
        <v>42356.0</v>
      </c>
      <c r="C197" s="25" t="s">
        <v>325</v>
      </c>
      <c r="D197" s="27">
        <v>9344.74</v>
      </c>
      <c r="E197" s="25" t="s">
        <v>326</v>
      </c>
      <c r="F197" s="30" t="s">
        <v>22</v>
      </c>
    </row>
    <row r="198" ht="12.75" customHeight="1">
      <c r="A198" s="1"/>
      <c r="B198" s="20"/>
      <c r="C198" s="1"/>
      <c r="D198" s="10"/>
      <c r="E198" s="1"/>
    </row>
    <row r="199" ht="12.75" customHeight="1">
      <c r="A199" t="s">
        <v>290</v>
      </c>
      <c r="B199" s="17">
        <v>42346.0</v>
      </c>
      <c r="C199" s="16" t="s">
        <v>327</v>
      </c>
      <c r="D199" s="18">
        <v>53728.13</v>
      </c>
      <c r="E199" s="16" t="s">
        <v>223</v>
      </c>
      <c r="F199" s="19" t="s">
        <v>13</v>
      </c>
    </row>
    <row r="200" ht="12.75" customHeight="1">
      <c r="B200" s="106">
        <v>42957.0</v>
      </c>
      <c r="C200" s="83">
        <v>2742.0</v>
      </c>
      <c r="D200" s="21">
        <f>D199-11030.44</f>
        <v>42697.69</v>
      </c>
    </row>
    <row r="201" ht="12.75" customHeight="1">
      <c r="B201" s="20">
        <v>42998.0</v>
      </c>
      <c r="C201" s="24">
        <v>43000.0</v>
      </c>
      <c r="D201" s="21">
        <f>D200-12316.12</f>
        <v>30381.57</v>
      </c>
      <c r="E201" t="s">
        <v>292</v>
      </c>
    </row>
    <row r="202" ht="12.75" customHeight="1">
      <c r="B202" s="20">
        <v>43028.0</v>
      </c>
      <c r="C202" s="24">
        <v>43047.0</v>
      </c>
      <c r="D202" s="21">
        <f>D201-2820</f>
        <v>27561.57</v>
      </c>
    </row>
    <row r="203" ht="12.75" customHeight="1">
      <c r="B203" s="20">
        <v>43048.0</v>
      </c>
      <c r="C203" s="24">
        <v>43055.0</v>
      </c>
      <c r="D203" s="21">
        <f>D202-10847.43</f>
        <v>16714.14</v>
      </c>
    </row>
    <row r="204" ht="12.75" customHeight="1">
      <c r="A204" s="12"/>
      <c r="B204" s="13">
        <v>42346.0</v>
      </c>
      <c r="C204" s="12" t="s">
        <v>328</v>
      </c>
      <c r="D204" s="14">
        <v>1133.3</v>
      </c>
      <c r="E204" s="12" t="s">
        <v>234</v>
      </c>
    </row>
    <row r="205" ht="12.75" customHeight="1">
      <c r="A205" s="12"/>
      <c r="B205" s="13"/>
      <c r="C205" s="12"/>
      <c r="D205" s="14">
        <f>D204-772</f>
        <v>361.3</v>
      </c>
      <c r="E205" s="12"/>
    </row>
    <row r="206" ht="12.75" customHeight="1">
      <c r="A206" s="12"/>
      <c r="B206" s="107">
        <v>42807.0</v>
      </c>
      <c r="C206" s="108">
        <v>2637.0</v>
      </c>
      <c r="D206" s="110">
        <f>D205-361.3</f>
        <v>0</v>
      </c>
      <c r="E206" s="70"/>
      <c r="F206" s="111"/>
      <c r="G206" s="112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ht="12.75" customHeight="1">
      <c r="A207" s="1"/>
      <c r="B207" s="13">
        <v>42346.0</v>
      </c>
      <c r="C207" s="12" t="s">
        <v>331</v>
      </c>
      <c r="D207" s="14">
        <v>4265.88</v>
      </c>
      <c r="E207" s="12" t="s">
        <v>332</v>
      </c>
    </row>
    <row r="208" ht="12.75" customHeight="1">
      <c r="A208" s="1"/>
      <c r="B208" s="13"/>
      <c r="C208" s="12"/>
      <c r="D208" s="14">
        <v>2222.23</v>
      </c>
      <c r="E208" s="12"/>
    </row>
    <row r="209" ht="12.75" customHeight="1">
      <c r="A209" s="1"/>
      <c r="B209" s="13"/>
      <c r="C209" s="12"/>
      <c r="D209" s="14">
        <f>D208-3309.42</f>
        <v>-1087.19</v>
      </c>
      <c r="E209" s="12"/>
    </row>
    <row r="210" ht="12.75" customHeight="1">
      <c r="A210" s="25" t="s">
        <v>336</v>
      </c>
      <c r="B210" s="26">
        <v>42346.0</v>
      </c>
      <c r="C210" s="25" t="s">
        <v>337</v>
      </c>
      <c r="D210" s="27">
        <v>2889.3</v>
      </c>
      <c r="E210" s="25" t="s">
        <v>234</v>
      </c>
      <c r="F210" s="79" t="s">
        <v>22</v>
      </c>
    </row>
    <row r="211" ht="12.75" customHeight="1">
      <c r="A211" s="25"/>
      <c r="B211" s="26"/>
      <c r="C211" s="25"/>
      <c r="D211" s="27">
        <f>D210-850</f>
        <v>2039.3</v>
      </c>
      <c r="E211" s="25"/>
      <c r="F211" s="114"/>
    </row>
    <row r="212" ht="12.75" customHeight="1">
      <c r="A212" s="25"/>
      <c r="B212" s="26"/>
      <c r="C212" s="25"/>
      <c r="D212" s="27">
        <f>D211-342</f>
        <v>1697.3</v>
      </c>
      <c r="E212" s="25"/>
      <c r="F212" s="80"/>
    </row>
    <row r="213" ht="12.75" customHeight="1">
      <c r="A213" s="25" t="s">
        <v>343</v>
      </c>
      <c r="B213" s="26">
        <v>42220.0</v>
      </c>
      <c r="C213" s="25" t="s">
        <v>344</v>
      </c>
      <c r="D213" s="27">
        <v>1485.0</v>
      </c>
      <c r="E213" s="25" t="s">
        <v>345</v>
      </c>
      <c r="F213" s="30" t="s">
        <v>22</v>
      </c>
    </row>
    <row r="214" ht="12.75" customHeight="1">
      <c r="A214" s="1"/>
      <c r="B214" s="20"/>
      <c r="C214" s="1"/>
      <c r="D214" s="10"/>
      <c r="E214" s="1"/>
    </row>
    <row r="215" ht="12.75" customHeight="1">
      <c r="A215" s="25" t="s">
        <v>346</v>
      </c>
      <c r="B215" s="26">
        <v>42356.0</v>
      </c>
      <c r="C215" s="25" t="s">
        <v>347</v>
      </c>
      <c r="D215" s="27">
        <v>44211.5</v>
      </c>
      <c r="E215" s="25" t="s">
        <v>326</v>
      </c>
      <c r="F215" s="79" t="s">
        <v>22</v>
      </c>
    </row>
    <row r="216" ht="12.75" customHeight="1">
      <c r="A216" s="25"/>
      <c r="B216" s="26"/>
      <c r="C216" s="25"/>
      <c r="D216" s="27">
        <f>D215-41033.29</f>
        <v>3178.21</v>
      </c>
      <c r="E216" s="25" t="s">
        <v>348</v>
      </c>
      <c r="F216" s="80"/>
    </row>
    <row r="217" ht="12.75" customHeight="1">
      <c r="A217" s="12" t="s">
        <v>350</v>
      </c>
      <c r="B217" s="13">
        <v>42346.0</v>
      </c>
      <c r="C217" s="12" t="s">
        <v>352</v>
      </c>
      <c r="D217" s="14">
        <v>5695.34</v>
      </c>
      <c r="E217" s="12"/>
    </row>
    <row r="218" ht="12.75" customHeight="1">
      <c r="A218" s="12"/>
      <c r="B218" s="117">
        <v>42842.0</v>
      </c>
      <c r="C218" s="118">
        <v>8989.0</v>
      </c>
      <c r="D218" s="14">
        <f>D217-5695.34</f>
        <v>0</v>
      </c>
      <c r="E218" s="12"/>
    </row>
    <row r="219" ht="12.75" customHeight="1">
      <c r="A219" s="12" t="s">
        <v>353</v>
      </c>
      <c r="B219" s="13">
        <v>42264.0</v>
      </c>
      <c r="C219" s="12" t="s">
        <v>354</v>
      </c>
      <c r="D219" s="14">
        <v>36027.86</v>
      </c>
      <c r="E219" s="12" t="s">
        <v>28</v>
      </c>
    </row>
    <row r="220" ht="12.75" customHeight="1">
      <c r="A220" s="12"/>
      <c r="B220" s="13"/>
      <c r="C220" s="12"/>
      <c r="D220" s="14">
        <f>D219-4217.9</f>
        <v>31809.96</v>
      </c>
      <c r="E220" s="12"/>
    </row>
    <row r="221" ht="12.75" customHeight="1">
      <c r="A221" s="12"/>
      <c r="B221" s="13"/>
      <c r="C221" s="12"/>
      <c r="D221" s="14">
        <f>D220-4022.84</f>
        <v>27787.12</v>
      </c>
      <c r="E221" s="12"/>
    </row>
    <row r="222" ht="12.75" customHeight="1">
      <c r="A222" s="12"/>
      <c r="B222" s="13"/>
      <c r="C222" s="12"/>
      <c r="D222" s="14">
        <f>D221-7872.81</f>
        <v>19914.31</v>
      </c>
      <c r="E222" s="12"/>
    </row>
    <row r="223" ht="12.75" customHeight="1">
      <c r="A223" s="12"/>
      <c r="B223" s="117">
        <v>42782.0</v>
      </c>
      <c r="C223" s="118">
        <v>2693.0</v>
      </c>
      <c r="D223" s="14">
        <f>D222-3508.69</f>
        <v>16405.62</v>
      </c>
      <c r="E223" s="12"/>
    </row>
    <row r="224" ht="12.75" customHeight="1">
      <c r="A224" s="12"/>
      <c r="B224" s="117">
        <v>42801.0</v>
      </c>
      <c r="C224" s="118">
        <v>2712.0</v>
      </c>
      <c r="D224" s="14">
        <f>D223-4622.47</f>
        <v>11783.15</v>
      </c>
      <c r="E224" s="12"/>
    </row>
    <row r="225" ht="12.75" customHeight="1">
      <c r="A225" s="12"/>
      <c r="B225" s="117">
        <v>42836.0</v>
      </c>
      <c r="C225" s="118">
        <v>2760.0</v>
      </c>
      <c r="D225" s="14">
        <f>D224-3258.1</f>
        <v>8525.05</v>
      </c>
      <c r="E225" s="12"/>
    </row>
    <row r="226" ht="12.75" customHeight="1">
      <c r="A226" s="12"/>
      <c r="B226" s="117">
        <v>42860.0</v>
      </c>
      <c r="C226" s="118">
        <v>2784.0</v>
      </c>
      <c r="D226" s="14">
        <f>D225-5038.28</f>
        <v>3486.77</v>
      </c>
      <c r="E226" s="12"/>
    </row>
    <row r="227" ht="12.75" customHeight="1">
      <c r="A227" s="84">
        <v>42899.0</v>
      </c>
      <c r="B227" s="117">
        <v>42920.0</v>
      </c>
      <c r="C227" s="118">
        <v>2832.0</v>
      </c>
      <c r="D227" s="14">
        <f>D226-2923.92</f>
        <v>562.85</v>
      </c>
      <c r="E227" s="12"/>
    </row>
    <row r="228" ht="12.75" customHeight="1">
      <c r="A228" s="84">
        <v>42921.0</v>
      </c>
      <c r="B228" s="117">
        <v>42927.0</v>
      </c>
      <c r="C228" s="118">
        <v>2853.0</v>
      </c>
      <c r="D228" s="14">
        <f>D227-562.85</f>
        <v>0</v>
      </c>
      <c r="E228" s="12"/>
    </row>
    <row r="229" ht="12.75" customHeight="1">
      <c r="A229" s="84"/>
      <c r="B229" s="117"/>
      <c r="C229" s="118"/>
      <c r="D229" s="14"/>
      <c r="E229" s="12"/>
    </row>
    <row r="230" ht="12.75" customHeight="1">
      <c r="A230" s="1" t="s">
        <v>355</v>
      </c>
      <c r="B230" s="17">
        <v>42354.0</v>
      </c>
      <c r="C230" s="16" t="s">
        <v>356</v>
      </c>
      <c r="D230" s="18">
        <v>12210.0</v>
      </c>
      <c r="E230" s="16" t="s">
        <v>357</v>
      </c>
      <c r="F230" s="74" t="s">
        <v>358</v>
      </c>
    </row>
    <row r="231" ht="12.75" customHeight="1">
      <c r="A231" s="1"/>
      <c r="B231" s="20"/>
      <c r="C231" s="1"/>
      <c r="D231" s="21">
        <f>D230-3300</f>
        <v>8910</v>
      </c>
      <c r="E231" s="1"/>
    </row>
    <row r="232" ht="12.75" customHeight="1">
      <c r="A232" s="1"/>
      <c r="B232" s="20"/>
      <c r="C232" s="1"/>
      <c r="D232" s="21">
        <f>D231-4620</f>
        <v>4290</v>
      </c>
      <c r="E232" s="1"/>
    </row>
    <row r="233" ht="12.75" customHeight="1">
      <c r="A233" s="1"/>
      <c r="B233" s="20"/>
      <c r="C233" s="1"/>
      <c r="D233" s="21">
        <f>D231-4290</f>
        <v>4620</v>
      </c>
      <c r="E233" s="1"/>
    </row>
    <row r="234" ht="12.75" customHeight="1">
      <c r="A234" s="1" t="s">
        <v>360</v>
      </c>
      <c r="B234" s="26">
        <v>42264.0</v>
      </c>
      <c r="C234" s="25" t="s">
        <v>361</v>
      </c>
      <c r="D234" s="27">
        <v>18899.19</v>
      </c>
      <c r="E234" s="25" t="s">
        <v>362</v>
      </c>
      <c r="F234" s="25" t="s">
        <v>363</v>
      </c>
    </row>
    <row r="235" ht="12.75" customHeight="1">
      <c r="A235" s="1"/>
      <c r="B235" s="20"/>
      <c r="C235" s="1"/>
      <c r="D235" s="10"/>
      <c r="E235" s="1"/>
    </row>
    <row r="236" ht="12.75" customHeight="1">
      <c r="A236" s="25" t="s">
        <v>364</v>
      </c>
      <c r="B236" s="26">
        <v>42220.0</v>
      </c>
      <c r="C236" s="25" t="s">
        <v>365</v>
      </c>
      <c r="D236" s="27">
        <v>3557.0</v>
      </c>
      <c r="E236" s="25" t="s">
        <v>366</v>
      </c>
      <c r="F236" s="30" t="s">
        <v>22</v>
      </c>
    </row>
    <row r="237" ht="12.75" customHeight="1">
      <c r="A237" s="1"/>
      <c r="B237" s="20"/>
      <c r="C237" s="1"/>
      <c r="D237" s="10"/>
      <c r="E237" s="1"/>
    </row>
    <row r="238" ht="12.75" customHeight="1">
      <c r="A238" s="12" t="s">
        <v>367</v>
      </c>
      <c r="B238" s="13">
        <v>42173.0</v>
      </c>
      <c r="C238" s="12" t="s">
        <v>368</v>
      </c>
      <c r="D238" s="14">
        <v>287.5</v>
      </c>
      <c r="E238" s="12" t="s">
        <v>369</v>
      </c>
      <c r="F238" s="12" t="s">
        <v>370</v>
      </c>
    </row>
    <row r="239" ht="12.75" customHeight="1">
      <c r="A239" s="12"/>
      <c r="B239" s="13"/>
      <c r="C239" s="12"/>
      <c r="D239" s="14">
        <f>D238-136.5</f>
        <v>151</v>
      </c>
      <c r="E239" s="12"/>
      <c r="F239" s="12"/>
    </row>
    <row r="240" ht="12.75" customHeight="1">
      <c r="A240" s="12"/>
      <c r="B240" s="13"/>
      <c r="C240" s="12"/>
      <c r="D240" s="14">
        <f>D239-151</f>
        <v>0</v>
      </c>
      <c r="E240" s="12"/>
      <c r="F240" s="12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ht="12.75" customHeight="1">
      <c r="A241" s="1" t="s">
        <v>373</v>
      </c>
      <c r="B241" s="26">
        <v>42356.0</v>
      </c>
      <c r="C241" s="25" t="s">
        <v>374</v>
      </c>
      <c r="D241" s="27">
        <v>0.03</v>
      </c>
      <c r="E241" s="25" t="s">
        <v>73</v>
      </c>
      <c r="F241" s="25" t="s">
        <v>375</v>
      </c>
    </row>
    <row r="242" ht="12.75" customHeight="1">
      <c r="A242" s="1"/>
      <c r="B242" s="20"/>
      <c r="C242" s="1"/>
      <c r="D242" s="10"/>
      <c r="E242" s="1"/>
    </row>
    <row r="243" ht="12.75" customHeight="1">
      <c r="A243" s="25" t="s">
        <v>376</v>
      </c>
      <c r="B243" s="26">
        <v>42356.0</v>
      </c>
      <c r="C243" s="25" t="s">
        <v>377</v>
      </c>
      <c r="D243" s="27">
        <v>1737.95</v>
      </c>
      <c r="E243" s="25" t="s">
        <v>73</v>
      </c>
      <c r="F243" s="79" t="s">
        <v>22</v>
      </c>
    </row>
    <row r="244" ht="12.75" customHeight="1">
      <c r="A244" s="1"/>
      <c r="B244" s="26"/>
      <c r="C244" s="25"/>
      <c r="D244" s="27">
        <f>D243-1615.59</f>
        <v>122.36</v>
      </c>
      <c r="E244" s="25"/>
      <c r="F244" s="80"/>
    </row>
    <row r="245" ht="12.75" customHeight="1">
      <c r="A245" s="25" t="s">
        <v>381</v>
      </c>
      <c r="B245" s="26">
        <v>42122.0</v>
      </c>
      <c r="C245" s="25" t="s">
        <v>382</v>
      </c>
      <c r="D245" s="27">
        <v>1169.68</v>
      </c>
      <c r="E245" s="25" t="s">
        <v>383</v>
      </c>
      <c r="F245" s="30" t="s">
        <v>22</v>
      </c>
    </row>
    <row r="246" ht="12.75" customHeight="1">
      <c r="A246" s="25"/>
      <c r="B246" s="26">
        <v>42151.0</v>
      </c>
      <c r="C246" s="25" t="s">
        <v>384</v>
      </c>
      <c r="D246" s="27">
        <v>15130.0</v>
      </c>
      <c r="E246" s="25" t="s">
        <v>386</v>
      </c>
      <c r="F246" s="30" t="s">
        <v>22</v>
      </c>
    </row>
    <row r="247" ht="12.75" customHeight="1">
      <c r="A247" s="1"/>
      <c r="B247" s="20"/>
      <c r="C247" s="1"/>
      <c r="D247" s="10"/>
      <c r="E247" s="1"/>
    </row>
    <row r="248" ht="12.75" customHeight="1">
      <c r="A248" s="1" t="s">
        <v>387</v>
      </c>
      <c r="B248" s="17">
        <v>42116.0</v>
      </c>
      <c r="C248" s="16" t="s">
        <v>388</v>
      </c>
      <c r="D248" s="18">
        <v>9600.0</v>
      </c>
      <c r="E248" s="16" t="s">
        <v>389</v>
      </c>
      <c r="F248" s="75" t="s">
        <v>390</v>
      </c>
    </row>
    <row r="249" ht="12.75" customHeight="1">
      <c r="A249" s="1"/>
      <c r="B249" s="5"/>
      <c r="C249" s="1"/>
      <c r="D249" s="10"/>
      <c r="E249" s="1"/>
    </row>
    <row r="250" ht="12.75" customHeight="1">
      <c r="A250" s="25" t="s">
        <v>391</v>
      </c>
      <c r="B250" s="26">
        <v>42122.0</v>
      </c>
      <c r="C250" s="25" t="s">
        <v>392</v>
      </c>
      <c r="D250" s="27">
        <v>2730.0</v>
      </c>
      <c r="E250" s="25" t="s">
        <v>383</v>
      </c>
      <c r="F250" s="30" t="s">
        <v>22</v>
      </c>
    </row>
    <row r="251" ht="12.75" customHeight="1">
      <c r="A251" s="25"/>
      <c r="B251" s="26">
        <v>42220.0</v>
      </c>
      <c r="C251" s="25" t="s">
        <v>393</v>
      </c>
      <c r="D251" s="27">
        <v>476.0</v>
      </c>
      <c r="E251" s="25" t="s">
        <v>366</v>
      </c>
      <c r="F251" s="30" t="s">
        <v>22</v>
      </c>
    </row>
    <row r="252" ht="12.75" customHeight="1">
      <c r="A252" s="1"/>
      <c r="B252" s="5"/>
      <c r="C252" s="1"/>
      <c r="D252" s="10"/>
      <c r="E252" s="1"/>
    </row>
    <row r="253" ht="12.75" customHeight="1">
      <c r="A253" s="12" t="s">
        <v>394</v>
      </c>
      <c r="B253" s="13">
        <v>42315.0</v>
      </c>
      <c r="C253" s="12" t="s">
        <v>395</v>
      </c>
      <c r="D253" s="14">
        <v>3009.0</v>
      </c>
      <c r="E253" s="12" t="s">
        <v>396</v>
      </c>
    </row>
    <row r="254" ht="12.75" customHeight="1">
      <c r="A254" s="12"/>
      <c r="B254" s="72"/>
      <c r="C254" s="12"/>
      <c r="D254" s="14">
        <f>D253-1003</f>
        <v>2006</v>
      </c>
      <c r="E254" s="12"/>
    </row>
    <row r="255" ht="12.75" customHeight="1">
      <c r="A255" s="12"/>
      <c r="B255" s="13"/>
      <c r="C255" s="12"/>
      <c r="D255" s="14">
        <f>D254-1089</f>
        <v>917</v>
      </c>
      <c r="E255" s="12"/>
    </row>
    <row r="256" ht="12.75" customHeight="1">
      <c r="A256" s="12"/>
      <c r="B256" s="13"/>
      <c r="C256" s="12"/>
      <c r="D256" s="14">
        <f>D255-1003</f>
        <v>-86</v>
      </c>
      <c r="E256" s="12"/>
    </row>
    <row r="257" ht="12.75" customHeight="1">
      <c r="A257" t="s">
        <v>305</v>
      </c>
      <c r="B257" s="17">
        <v>42346.0</v>
      </c>
      <c r="C257" s="16" t="s">
        <v>397</v>
      </c>
      <c r="D257" s="18">
        <v>15708.0</v>
      </c>
      <c r="E257" s="16" t="s">
        <v>243</v>
      </c>
    </row>
    <row r="258" ht="12.75" customHeight="1">
      <c r="A258" s="1"/>
      <c r="B258" s="20"/>
      <c r="C258" s="1"/>
      <c r="D258" s="21">
        <f>D257-5796</f>
        <v>9912</v>
      </c>
      <c r="E258" t="s">
        <v>32</v>
      </c>
    </row>
    <row r="259" ht="12.75" customHeight="1">
      <c r="A259" s="25" t="s">
        <v>398</v>
      </c>
      <c r="B259" s="26">
        <v>42355.0</v>
      </c>
      <c r="C259" s="25" t="s">
        <v>399</v>
      </c>
      <c r="D259" s="27">
        <v>10487.53</v>
      </c>
      <c r="E259" s="25" t="s">
        <v>400</v>
      </c>
      <c r="F259" s="79" t="s">
        <v>22</v>
      </c>
    </row>
    <row r="260" ht="12.75" customHeight="1">
      <c r="A260" s="25"/>
      <c r="B260" s="26"/>
      <c r="C260" s="25"/>
      <c r="D260" s="27">
        <f t="shared" ref="D260:D262" si="1">D259-3495.83</f>
        <v>6991.7</v>
      </c>
      <c r="E260" s="25"/>
      <c r="F260" s="114"/>
    </row>
    <row r="261" ht="12.75" customHeight="1">
      <c r="A261" s="25"/>
      <c r="B261" s="26"/>
      <c r="C261" s="25"/>
      <c r="D261" s="27">
        <f t="shared" si="1"/>
        <v>3495.87</v>
      </c>
      <c r="E261" s="25"/>
      <c r="F261" s="114"/>
    </row>
    <row r="262" ht="12.75" customHeight="1">
      <c r="A262" s="25"/>
      <c r="B262" s="26"/>
      <c r="C262" s="25"/>
      <c r="D262" s="27">
        <f t="shared" si="1"/>
        <v>0.04</v>
      </c>
      <c r="E262" s="25"/>
      <c r="F262" s="80"/>
    </row>
    <row r="263" ht="12.75" customHeight="1">
      <c r="A263" s="25" t="s">
        <v>404</v>
      </c>
      <c r="B263" s="26">
        <v>42152.0</v>
      </c>
      <c r="C263" s="25" t="s">
        <v>405</v>
      </c>
      <c r="D263" s="27">
        <v>1148.56</v>
      </c>
      <c r="E263" s="25" t="s">
        <v>406</v>
      </c>
      <c r="F263" s="30" t="s">
        <v>22</v>
      </c>
    </row>
    <row r="264" ht="12.75" customHeight="1">
      <c r="A264" s="1"/>
      <c r="B264" s="20"/>
      <c r="C264" s="1"/>
      <c r="D264" s="10"/>
      <c r="E264" s="1"/>
    </row>
    <row r="265" ht="12.75" customHeight="1">
      <c r="A265" s="1" t="s">
        <v>307</v>
      </c>
      <c r="B265" s="17">
        <v>42348.0</v>
      </c>
      <c r="C265" s="16" t="s">
        <v>407</v>
      </c>
      <c r="D265" s="18">
        <v>28139.76</v>
      </c>
      <c r="E265" s="16" t="s">
        <v>408</v>
      </c>
    </row>
    <row r="266" ht="12.75" customHeight="1">
      <c r="A266" s="1"/>
      <c r="B266" s="20"/>
      <c r="C266" s="1"/>
      <c r="D266" s="21">
        <f>D265-2195.26-2715.19</f>
        <v>23229.31</v>
      </c>
      <c r="E266" s="1"/>
    </row>
    <row r="267" ht="12.75" customHeight="1">
      <c r="A267" s="1"/>
      <c r="B267" s="20"/>
      <c r="C267" s="1"/>
      <c r="D267" s="21">
        <f>D266-2253.03</f>
        <v>20976.28</v>
      </c>
      <c r="E267" s="1"/>
    </row>
    <row r="268" ht="12.75" customHeight="1">
      <c r="A268" s="1"/>
      <c r="B268" s="20">
        <v>43014.0</v>
      </c>
      <c r="C268" s="1">
        <v>117620.0</v>
      </c>
      <c r="D268" s="21">
        <f>D267-1182.06</f>
        <v>19794.22</v>
      </c>
      <c r="E268" t="s">
        <v>409</v>
      </c>
    </row>
    <row r="269" ht="12.75" customHeight="1">
      <c r="A269" s="1"/>
      <c r="B269" s="20">
        <v>43047.0</v>
      </c>
      <c r="C269" s="24">
        <v>43055.0</v>
      </c>
      <c r="D269" s="21">
        <f>D268-2512.8</f>
        <v>17281.42</v>
      </c>
    </row>
    <row r="270" ht="12.75" customHeight="1">
      <c r="A270" s="25" t="s">
        <v>410</v>
      </c>
      <c r="B270" s="26">
        <v>42122.0</v>
      </c>
      <c r="C270" s="25" t="s">
        <v>411</v>
      </c>
      <c r="D270" s="27">
        <v>2455.98</v>
      </c>
      <c r="E270" s="25" t="s">
        <v>383</v>
      </c>
      <c r="F270" s="30" t="s">
        <v>22</v>
      </c>
    </row>
    <row r="271" ht="12.75" customHeight="1">
      <c r="A271" s="1"/>
      <c r="B271" s="20"/>
      <c r="C271" s="1"/>
      <c r="D271" s="10"/>
      <c r="E271" s="1"/>
    </row>
    <row r="272" ht="12.75" customHeight="1">
      <c r="A272" s="25" t="s">
        <v>412</v>
      </c>
      <c r="B272" s="26">
        <v>42192.0</v>
      </c>
      <c r="C272" s="25" t="s">
        <v>446</v>
      </c>
      <c r="D272" s="27">
        <v>56251.75</v>
      </c>
      <c r="E272" s="25" t="s">
        <v>447</v>
      </c>
      <c r="F272" s="30" t="s">
        <v>22</v>
      </c>
    </row>
    <row r="273" ht="12.75" customHeight="1">
      <c r="A273" s="1"/>
      <c r="B273" s="20"/>
      <c r="C273" s="1"/>
      <c r="D273" s="10"/>
      <c r="E273" s="1"/>
    </row>
    <row r="274" ht="12.75" customHeight="1">
      <c r="A274" s="12" t="s">
        <v>448</v>
      </c>
      <c r="B274" s="13">
        <v>42346.0</v>
      </c>
      <c r="C274" s="12" t="s">
        <v>449</v>
      </c>
      <c r="D274" s="14">
        <v>51840.0</v>
      </c>
      <c r="E274" s="12" t="s">
        <v>450</v>
      </c>
      <c r="F274" s="12" t="s">
        <v>13</v>
      </c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2.75" customHeight="1">
      <c r="A275" s="12"/>
      <c r="B275" s="13"/>
      <c r="C275" s="12"/>
      <c r="D275" s="14">
        <f>D274-6917.91</f>
        <v>44922.09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2.75" customHeight="1">
      <c r="A276" s="12"/>
      <c r="B276" s="13"/>
      <c r="C276" s="12"/>
      <c r="D276" s="14">
        <f>D275-2893.8</f>
        <v>42028.29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2.75" customHeight="1">
      <c r="A277" s="12"/>
      <c r="B277" s="13"/>
      <c r="C277" s="12"/>
      <c r="D277" s="14">
        <f>D276-3772.27</f>
        <v>38256.02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2.75" customHeight="1">
      <c r="A278" s="12"/>
      <c r="B278" s="13"/>
      <c r="C278" s="12"/>
      <c r="D278" s="14">
        <f>D277-1373.43</f>
        <v>36882.59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2.75" customHeight="1">
      <c r="A279" s="12"/>
      <c r="B279" s="128">
        <v>42776.0</v>
      </c>
      <c r="C279" s="129">
        <v>3263.0</v>
      </c>
      <c r="D279" s="14">
        <f>D278-2215.2</f>
        <v>34667.39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2.75" customHeight="1">
      <c r="A280" s="36">
        <v>42866.0</v>
      </c>
      <c r="B280" s="39">
        <v>42874.0</v>
      </c>
      <c r="C280" s="40">
        <v>3538.0</v>
      </c>
      <c r="D280" s="37">
        <f>D279-5925.02</f>
        <v>28742.37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2.75" customHeight="1">
      <c r="A281" s="36">
        <v>42906.0</v>
      </c>
      <c r="B281" s="39">
        <v>42920.0</v>
      </c>
      <c r="C281" s="40">
        <v>3640.0</v>
      </c>
      <c r="D281" s="37">
        <v>14976.04</v>
      </c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2.75" customHeight="1">
      <c r="A282" s="36">
        <v>42930.0</v>
      </c>
      <c r="B282" s="39">
        <v>42948.0</v>
      </c>
      <c r="C282" s="40">
        <v>3732.0</v>
      </c>
      <c r="D282" s="37">
        <f>D281-4918.73</f>
        <v>10057.31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2.75" customHeight="1">
      <c r="A283" s="36">
        <v>42957.0</v>
      </c>
      <c r="B283" s="39">
        <v>42962.0</v>
      </c>
      <c r="C283" s="40">
        <v>3805.0</v>
      </c>
      <c r="D283" s="37">
        <f>D282-6749.5</f>
        <v>3307.81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2.75" customHeight="1">
      <c r="A284" s="36">
        <v>42993.0</v>
      </c>
      <c r="B284" s="39">
        <v>43000.0</v>
      </c>
      <c r="C284" s="40">
        <v>3924.0</v>
      </c>
      <c r="D284" s="37">
        <f>D283-D283</f>
        <v>0</v>
      </c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2.75" customHeight="1">
      <c r="A285" s="1" t="s">
        <v>466</v>
      </c>
      <c r="B285" s="17">
        <v>42151.0</v>
      </c>
      <c r="C285" s="16" t="s">
        <v>467</v>
      </c>
      <c r="D285" s="18">
        <v>27887.76</v>
      </c>
      <c r="E285" s="16" t="s">
        <v>468</v>
      </c>
      <c r="F285" s="1"/>
    </row>
    <row r="286" ht="12.75" customHeight="1">
      <c r="A286" s="1"/>
      <c r="B286" s="131">
        <v>43049.0</v>
      </c>
      <c r="C286" s="24">
        <v>43060.0</v>
      </c>
      <c r="D286" s="10">
        <f>D285-26671.22</f>
        <v>1216.54</v>
      </c>
      <c r="E286" s="1"/>
    </row>
    <row r="287" ht="12.75" customHeight="1">
      <c r="A287" s="12" t="s">
        <v>469</v>
      </c>
      <c r="B287" s="13">
        <v>42309.0</v>
      </c>
      <c r="C287" s="12" t="s">
        <v>470</v>
      </c>
      <c r="D287" s="14">
        <v>11412.98</v>
      </c>
      <c r="E287" s="12" t="s">
        <v>471</v>
      </c>
      <c r="F287" s="12" t="s">
        <v>472</v>
      </c>
    </row>
    <row r="288" ht="12.75" customHeight="1">
      <c r="A288" s="12"/>
      <c r="B288" s="13"/>
      <c r="C288" s="12"/>
      <c r="D288" s="14">
        <f t="shared" ref="D288:D291" si="2">D287-2707.91</f>
        <v>8705.07</v>
      </c>
      <c r="E288" s="12"/>
      <c r="F288" s="12"/>
    </row>
    <row r="289" ht="12.75" customHeight="1">
      <c r="A289" s="12"/>
      <c r="B289" s="13"/>
      <c r="C289" s="12"/>
      <c r="D289" s="14">
        <f t="shared" si="2"/>
        <v>5997.16</v>
      </c>
      <c r="E289" s="12"/>
      <c r="F289" s="12"/>
    </row>
    <row r="290" ht="12.75" customHeight="1">
      <c r="A290" s="12"/>
      <c r="B290" s="72"/>
      <c r="C290" s="12"/>
      <c r="D290" s="14">
        <f t="shared" si="2"/>
        <v>3289.25</v>
      </c>
      <c r="E290" s="12"/>
      <c r="F290" s="12"/>
    </row>
    <row r="291" ht="12.75" customHeight="1">
      <c r="A291" s="12"/>
      <c r="B291" s="41">
        <v>42795.0</v>
      </c>
      <c r="C291" s="42">
        <v>2596.0</v>
      </c>
      <c r="D291" s="14">
        <f t="shared" si="2"/>
        <v>581.34</v>
      </c>
      <c r="E291" s="12"/>
      <c r="F291" s="12"/>
    </row>
    <row r="292" ht="12.75" customHeight="1">
      <c r="A292" s="12"/>
      <c r="B292" s="107">
        <v>42853.0</v>
      </c>
      <c r="C292" s="108">
        <v>2708.0</v>
      </c>
      <c r="D292" s="14">
        <f>D291-581.34</f>
        <v>0</v>
      </c>
      <c r="E292" s="12"/>
      <c r="F292" s="12"/>
    </row>
    <row r="293" ht="12.75" customHeight="1">
      <c r="A293" s="1"/>
      <c r="B293" s="1"/>
      <c r="C293" s="1"/>
      <c r="D293" s="10"/>
      <c r="E293" s="1"/>
    </row>
    <row r="294" ht="12.75" customHeight="1">
      <c r="A294" s="1"/>
      <c r="B294" s="1"/>
      <c r="C294" s="1"/>
      <c r="D294" s="10"/>
      <c r="E294" s="1"/>
    </row>
    <row r="295" ht="12.75" customHeight="1">
      <c r="A295" s="1"/>
      <c r="B295" s="1"/>
      <c r="C295" s="1"/>
      <c r="D295" s="10"/>
      <c r="E295" s="1"/>
    </row>
    <row r="296" ht="12.75" customHeight="1">
      <c r="A296" s="1"/>
      <c r="B296" s="1"/>
      <c r="C296" s="1"/>
      <c r="D296" s="10"/>
      <c r="E296" s="1"/>
    </row>
    <row r="297" ht="12.75" customHeight="1">
      <c r="A297" s="1"/>
      <c r="B297" s="1"/>
      <c r="C297" s="1"/>
      <c r="D297" s="10"/>
      <c r="E297" s="1"/>
    </row>
    <row r="298" ht="12.75" customHeight="1">
      <c r="A298" s="1"/>
      <c r="B298" s="1"/>
      <c r="C298" s="1"/>
      <c r="D298" s="10"/>
      <c r="E298" s="1"/>
    </row>
    <row r="299" ht="12.75" customHeight="1">
      <c r="A299" s="1"/>
      <c r="B299" s="1"/>
      <c r="C299" s="1"/>
      <c r="D299" s="10"/>
      <c r="E299" s="1"/>
    </row>
    <row r="300" ht="12.75" customHeight="1">
      <c r="A300" s="1"/>
      <c r="B300" s="1"/>
      <c r="C300" s="1"/>
      <c r="D300" s="10"/>
      <c r="E300" s="1"/>
    </row>
    <row r="301" ht="12.75" customHeight="1">
      <c r="A301" s="1"/>
      <c r="B301" s="1"/>
      <c r="C301" s="1"/>
      <c r="D301" s="10"/>
      <c r="E301" s="1"/>
    </row>
    <row r="302" ht="12.75" customHeight="1">
      <c r="A302" s="1"/>
      <c r="B302" s="1"/>
      <c r="C302" s="1"/>
      <c r="D302" s="10"/>
      <c r="E302" s="1"/>
    </row>
    <row r="303" ht="12.75" customHeight="1">
      <c r="A303" s="1"/>
      <c r="B303" s="1"/>
      <c r="C303" s="1"/>
      <c r="D303" s="10"/>
      <c r="E303" s="1"/>
    </row>
    <row r="304" ht="12.75" customHeight="1">
      <c r="A304" s="1"/>
      <c r="B304" s="1"/>
      <c r="C304" s="1"/>
      <c r="D304" s="10"/>
      <c r="E304" s="1"/>
    </row>
    <row r="305" ht="12.75" customHeight="1">
      <c r="A305" s="1"/>
      <c r="B305" s="1"/>
      <c r="C305" s="1"/>
      <c r="D305" s="10"/>
      <c r="E305" s="1"/>
    </row>
    <row r="306" ht="12.75" customHeight="1">
      <c r="A306" s="1"/>
      <c r="B306" s="1"/>
      <c r="C306" s="1"/>
      <c r="D306" s="10"/>
      <c r="E306" s="1"/>
    </row>
    <row r="307" ht="12.75" customHeight="1">
      <c r="A307" s="1"/>
      <c r="B307" s="1"/>
      <c r="C307" s="1"/>
      <c r="D307" s="10"/>
      <c r="E307" s="1"/>
    </row>
    <row r="308" ht="12.75" customHeight="1">
      <c r="A308" s="1"/>
      <c r="B308" s="1"/>
      <c r="C308" s="1"/>
      <c r="D308" s="10"/>
      <c r="E308" s="1"/>
    </row>
    <row r="309" ht="12.75" customHeight="1">
      <c r="A309" s="1"/>
      <c r="B309" s="1"/>
      <c r="C309" s="1"/>
      <c r="D309" s="10"/>
      <c r="E309" s="1"/>
    </row>
    <row r="310" ht="12.75" customHeight="1">
      <c r="A310" s="1"/>
      <c r="B310" s="1"/>
      <c r="C310" s="1"/>
      <c r="D310" s="10"/>
      <c r="E310" s="1"/>
    </row>
    <row r="311" ht="12.75" customHeight="1">
      <c r="A311" s="1"/>
      <c r="B311" s="1"/>
      <c r="C311" s="1"/>
      <c r="D311" s="10"/>
      <c r="E311" s="1"/>
    </row>
    <row r="312" ht="12.75" customHeight="1">
      <c r="A312" s="1"/>
      <c r="B312" s="1"/>
      <c r="C312" s="1"/>
      <c r="D312" s="10"/>
      <c r="E312" s="1"/>
    </row>
    <row r="313" ht="12.75" customHeight="1">
      <c r="A313" s="1"/>
      <c r="B313" s="1"/>
      <c r="C313" s="1"/>
      <c r="D313" s="10"/>
      <c r="E313" s="1"/>
    </row>
    <row r="314" ht="12.75" customHeight="1">
      <c r="A314" s="1"/>
      <c r="B314" s="1"/>
      <c r="C314" s="1"/>
      <c r="D314" s="10"/>
      <c r="E314" s="1"/>
    </row>
    <row r="315" ht="12.75" customHeight="1">
      <c r="A315" s="1"/>
      <c r="B315" s="1"/>
      <c r="C315" s="1"/>
      <c r="D315" s="10"/>
      <c r="E315" s="1"/>
    </row>
    <row r="316" ht="12.75" customHeight="1">
      <c r="A316" s="1"/>
      <c r="B316" s="1"/>
      <c r="C316" s="1"/>
      <c r="D316" s="10"/>
      <c r="E316" s="1"/>
    </row>
    <row r="317" ht="12.75" customHeight="1">
      <c r="A317" s="1"/>
      <c r="B317" s="1"/>
      <c r="C317" s="1"/>
      <c r="D317" s="10"/>
      <c r="E317" s="1"/>
    </row>
    <row r="318" ht="12.75" customHeight="1">
      <c r="A318" s="1"/>
      <c r="B318" s="1"/>
      <c r="C318" s="1"/>
      <c r="D318" s="10"/>
      <c r="E318" s="1"/>
    </row>
    <row r="319" ht="12.75" customHeight="1">
      <c r="A319" s="1"/>
      <c r="B319" s="1"/>
      <c r="C319" s="1"/>
      <c r="D319" s="10"/>
      <c r="E319" s="1"/>
    </row>
    <row r="320" ht="12.75" customHeight="1">
      <c r="A320" s="1"/>
      <c r="B320" s="1"/>
      <c r="C320" s="1"/>
      <c r="D320" s="10"/>
      <c r="E320" s="1"/>
    </row>
    <row r="321" ht="12.75" customHeight="1">
      <c r="A321" s="1"/>
      <c r="B321" s="1"/>
      <c r="C321" s="1"/>
      <c r="D321" s="10"/>
      <c r="E321" s="1"/>
    </row>
    <row r="322" ht="12.75" customHeight="1">
      <c r="A322" s="1"/>
      <c r="B322" s="1"/>
      <c r="C322" s="1"/>
      <c r="D322" s="10"/>
      <c r="E322" s="1"/>
    </row>
    <row r="323" ht="12.75" customHeight="1">
      <c r="A323" s="1"/>
      <c r="B323" s="1"/>
      <c r="C323" s="1"/>
      <c r="D323" s="10"/>
      <c r="E323" s="1"/>
    </row>
    <row r="324" ht="12.75" customHeight="1">
      <c r="A324" s="1"/>
      <c r="B324" s="1"/>
      <c r="C324" s="1"/>
      <c r="D324" s="10"/>
      <c r="E324" s="1"/>
    </row>
    <row r="325" ht="12.75" customHeight="1">
      <c r="A325" s="1"/>
      <c r="B325" s="1"/>
      <c r="C325" s="1"/>
      <c r="D325" s="10"/>
      <c r="E325" s="1"/>
    </row>
    <row r="326" ht="12.75" customHeight="1">
      <c r="A326" s="1"/>
      <c r="B326" s="1"/>
      <c r="C326" s="1"/>
      <c r="D326" s="10"/>
      <c r="E326" s="1"/>
    </row>
    <row r="327" ht="12.75" customHeight="1">
      <c r="A327" s="1"/>
      <c r="B327" s="1"/>
      <c r="C327" s="1"/>
      <c r="D327" s="10"/>
      <c r="E327" s="1"/>
    </row>
    <row r="328" ht="12.75" customHeight="1">
      <c r="A328" s="1"/>
      <c r="B328" s="1"/>
      <c r="C328" s="1"/>
      <c r="D328" s="10"/>
      <c r="E328" s="1"/>
    </row>
    <row r="329" ht="12.75" customHeight="1">
      <c r="A329" s="1"/>
      <c r="B329" s="1"/>
      <c r="C329" s="1"/>
      <c r="D329" s="10"/>
      <c r="E329" s="1"/>
    </row>
    <row r="330" ht="12.75" customHeight="1">
      <c r="A330" s="1"/>
      <c r="B330" s="1"/>
      <c r="C330" s="1"/>
      <c r="D330" s="10"/>
      <c r="E330" s="1"/>
    </row>
    <row r="331" ht="12.75" customHeight="1">
      <c r="A331" s="1"/>
      <c r="B331" s="1"/>
      <c r="C331" s="1"/>
      <c r="D331" s="10"/>
      <c r="E331" s="1"/>
    </row>
    <row r="332" ht="12.75" customHeight="1">
      <c r="A332" s="1"/>
      <c r="B332" s="1"/>
      <c r="C332" s="1"/>
      <c r="D332" s="10"/>
      <c r="E332" s="1"/>
    </row>
    <row r="333" ht="12.75" customHeight="1">
      <c r="A333" s="1"/>
      <c r="B333" s="1"/>
      <c r="C333" s="1"/>
      <c r="D333" s="10"/>
      <c r="E333" s="1"/>
    </row>
    <row r="334" ht="12.75" customHeight="1">
      <c r="A334" s="1"/>
      <c r="B334" s="1"/>
      <c r="C334" s="1"/>
      <c r="D334" s="10"/>
      <c r="E334" s="1"/>
    </row>
    <row r="335" ht="12.75" customHeight="1">
      <c r="A335" s="1"/>
      <c r="B335" s="1"/>
      <c r="C335" s="1"/>
      <c r="D335" s="10"/>
      <c r="E335" s="1"/>
    </row>
    <row r="336" ht="12.75" customHeight="1">
      <c r="A336" s="1"/>
      <c r="B336" s="1"/>
      <c r="C336" s="1"/>
      <c r="D336" s="10"/>
      <c r="E336" s="1"/>
    </row>
    <row r="337" ht="12.75" customHeight="1">
      <c r="A337" s="1"/>
      <c r="B337" s="1"/>
      <c r="C337" s="1"/>
      <c r="D337" s="10"/>
      <c r="E337" s="1"/>
    </row>
    <row r="338" ht="12.75" customHeight="1">
      <c r="A338" s="1"/>
      <c r="B338" s="1"/>
      <c r="C338" s="1"/>
      <c r="D338" s="10"/>
      <c r="E338" s="1"/>
    </row>
    <row r="339" ht="12.75" customHeight="1">
      <c r="A339" s="1"/>
      <c r="B339" s="1"/>
      <c r="C339" s="1"/>
      <c r="D339" s="10"/>
      <c r="E339" s="1"/>
    </row>
    <row r="340" ht="12.75" customHeight="1">
      <c r="A340" s="1"/>
      <c r="B340" s="1"/>
      <c r="C340" s="1"/>
      <c r="D340" s="10"/>
      <c r="E340" s="1"/>
    </row>
    <row r="341" ht="12.75" customHeight="1">
      <c r="A341" s="1"/>
      <c r="B341" s="1"/>
      <c r="C341" s="1"/>
      <c r="D341" s="10"/>
      <c r="E341" s="1"/>
    </row>
    <row r="342" ht="12.75" customHeight="1">
      <c r="A342" s="1"/>
      <c r="B342" s="1"/>
      <c r="C342" s="1"/>
      <c r="D342" s="10"/>
      <c r="E342" s="1"/>
    </row>
    <row r="343" ht="12.75" customHeight="1">
      <c r="A343" s="1"/>
      <c r="B343" s="1"/>
      <c r="C343" s="1"/>
      <c r="D343" s="10"/>
      <c r="E343" s="1"/>
    </row>
    <row r="344" ht="12.75" customHeight="1">
      <c r="A344" s="1"/>
      <c r="B344" s="1"/>
      <c r="C344" s="1"/>
      <c r="D344" s="10"/>
      <c r="E344" s="1"/>
    </row>
    <row r="345" ht="12.75" customHeight="1">
      <c r="A345" s="1"/>
      <c r="B345" s="1"/>
      <c r="C345" s="1"/>
      <c r="D345" s="10"/>
      <c r="E345" s="1"/>
    </row>
    <row r="346" ht="12.75" customHeight="1">
      <c r="A346" s="1"/>
      <c r="B346" s="1"/>
      <c r="C346" s="1"/>
      <c r="D346" s="10"/>
      <c r="E346" s="1"/>
    </row>
    <row r="347" ht="12.75" customHeight="1">
      <c r="A347" s="1"/>
      <c r="B347" s="1"/>
      <c r="C347" s="1"/>
      <c r="D347" s="10"/>
      <c r="E347" s="1"/>
    </row>
    <row r="348" ht="12.75" customHeight="1">
      <c r="A348" s="1"/>
      <c r="B348" s="1"/>
      <c r="C348" s="1"/>
      <c r="D348" s="10"/>
      <c r="E348" s="1"/>
    </row>
    <row r="349" ht="12.75" customHeight="1">
      <c r="A349" s="1"/>
      <c r="B349" s="1"/>
      <c r="C349" s="1"/>
      <c r="D349" s="10"/>
      <c r="E349" s="1"/>
    </row>
    <row r="350" ht="12.75" customHeight="1">
      <c r="A350" s="1"/>
      <c r="B350" s="1"/>
      <c r="C350" s="1"/>
      <c r="D350" s="10"/>
      <c r="E350" s="1"/>
    </row>
    <row r="351" ht="12.75" customHeight="1">
      <c r="A351" s="1"/>
      <c r="B351" s="1"/>
      <c r="C351" s="1"/>
      <c r="D351" s="10"/>
      <c r="E351" s="1"/>
    </row>
    <row r="352" ht="12.75" customHeight="1">
      <c r="A352" s="1"/>
      <c r="B352" s="1"/>
      <c r="C352" s="1"/>
      <c r="D352" s="10"/>
      <c r="E352" s="1"/>
    </row>
    <row r="353" ht="12.75" customHeight="1">
      <c r="A353" s="1"/>
      <c r="B353" s="1"/>
      <c r="C353" s="1"/>
      <c r="D353" s="10"/>
      <c r="E353" s="1"/>
    </row>
    <row r="354" ht="12.75" customHeight="1">
      <c r="A354" s="1"/>
      <c r="B354" s="1"/>
      <c r="C354" s="1"/>
      <c r="D354" s="10"/>
      <c r="E354" s="1"/>
    </row>
    <row r="355" ht="12.75" customHeight="1">
      <c r="A355" s="1"/>
      <c r="B355" s="1"/>
      <c r="C355" s="1"/>
      <c r="D355" s="10"/>
      <c r="E355" s="1"/>
    </row>
    <row r="356" ht="12.75" customHeight="1">
      <c r="A356" s="1"/>
      <c r="B356" s="1"/>
      <c r="C356" s="1"/>
      <c r="D356" s="10"/>
      <c r="E356" s="1"/>
    </row>
    <row r="357" ht="12.75" customHeight="1">
      <c r="A357" s="1"/>
      <c r="B357" s="1"/>
      <c r="C357" s="1"/>
      <c r="D357" s="10"/>
      <c r="E357" s="1"/>
    </row>
    <row r="358" ht="12.75" customHeight="1">
      <c r="A358" s="1"/>
      <c r="B358" s="1"/>
      <c r="C358" s="1"/>
      <c r="D358" s="10"/>
      <c r="E358" s="1"/>
    </row>
    <row r="359" ht="12.75" customHeight="1">
      <c r="A359" s="1"/>
      <c r="B359" s="1"/>
      <c r="C359" s="1"/>
      <c r="D359" s="10"/>
      <c r="E359" s="1"/>
    </row>
    <row r="360" ht="12.75" customHeight="1">
      <c r="A360" s="1"/>
      <c r="B360" s="1"/>
      <c r="C360" s="1"/>
      <c r="D360" s="10"/>
      <c r="E360" s="1"/>
    </row>
    <row r="361" ht="12.75" customHeight="1">
      <c r="A361" s="1"/>
      <c r="B361" s="1"/>
      <c r="C361" s="1"/>
      <c r="D361" s="10"/>
      <c r="E361" s="1"/>
    </row>
    <row r="362" ht="12.75" customHeight="1">
      <c r="A362" s="1"/>
      <c r="B362" s="1"/>
      <c r="C362" s="1"/>
      <c r="D362" s="10"/>
      <c r="E362" s="1"/>
    </row>
    <row r="363" ht="12.75" customHeight="1">
      <c r="A363" s="1"/>
      <c r="B363" s="1"/>
      <c r="C363" s="1"/>
      <c r="D363" s="10"/>
      <c r="E363" s="1"/>
    </row>
    <row r="364" ht="12.75" customHeight="1">
      <c r="A364" s="1"/>
      <c r="B364" s="1"/>
      <c r="C364" s="1"/>
      <c r="D364" s="10"/>
      <c r="E364" s="1"/>
    </row>
    <row r="365" ht="12.75" customHeight="1">
      <c r="A365" s="1"/>
      <c r="B365" s="1"/>
      <c r="C365" s="1"/>
      <c r="D365" s="10"/>
      <c r="E365" s="1"/>
    </row>
    <row r="366" ht="12.75" customHeight="1">
      <c r="A366" s="1"/>
      <c r="B366" s="1"/>
      <c r="C366" s="1"/>
      <c r="D366" s="10"/>
      <c r="E366" s="1"/>
    </row>
    <row r="367" ht="12.75" customHeight="1">
      <c r="A367" s="1"/>
      <c r="B367" s="1"/>
      <c r="C367" s="1"/>
      <c r="D367" s="10"/>
      <c r="E367" s="1"/>
    </row>
    <row r="368" ht="12.75" customHeight="1">
      <c r="A368" s="1"/>
      <c r="B368" s="1"/>
      <c r="C368" s="1"/>
      <c r="D368" s="10"/>
      <c r="E368" s="1"/>
    </row>
    <row r="369" ht="12.75" customHeight="1">
      <c r="A369" s="1"/>
      <c r="B369" s="1"/>
      <c r="C369" s="1"/>
      <c r="D369" s="10"/>
      <c r="E369" s="1"/>
    </row>
    <row r="370" ht="12.75" customHeight="1">
      <c r="A370" s="1"/>
      <c r="B370" s="1"/>
      <c r="C370" s="1"/>
      <c r="D370" s="10"/>
      <c r="E370" s="1"/>
    </row>
    <row r="371" ht="12.75" customHeight="1">
      <c r="A371" s="1"/>
      <c r="B371" s="1"/>
      <c r="C371" s="1"/>
      <c r="D371" s="10"/>
      <c r="E371" s="1"/>
    </row>
    <row r="372" ht="12.75" customHeight="1">
      <c r="A372" s="1"/>
      <c r="B372" s="1"/>
      <c r="C372" s="1"/>
      <c r="D372" s="10"/>
      <c r="E372" s="1"/>
    </row>
    <row r="373" ht="12.75" customHeight="1">
      <c r="A373" s="1"/>
      <c r="B373" s="1"/>
      <c r="C373" s="1"/>
      <c r="D373" s="10"/>
      <c r="E373" s="1"/>
    </row>
    <row r="374" ht="12.75" customHeight="1">
      <c r="A374" s="1"/>
      <c r="B374" s="1"/>
      <c r="C374" s="1"/>
      <c r="D374" s="10"/>
      <c r="E374" s="1"/>
    </row>
    <row r="375" ht="12.75" customHeight="1">
      <c r="A375" s="1"/>
      <c r="B375" s="1"/>
      <c r="C375" s="1"/>
      <c r="D375" s="10"/>
      <c r="E375" s="1"/>
    </row>
    <row r="376" ht="12.75" customHeight="1">
      <c r="A376" s="1"/>
      <c r="B376" s="1"/>
      <c r="C376" s="1"/>
      <c r="D376" s="10"/>
      <c r="E376" s="1"/>
    </row>
    <row r="377" ht="12.75" customHeight="1">
      <c r="A377" s="1"/>
      <c r="B377" s="1"/>
      <c r="C377" s="1"/>
      <c r="D377" s="10"/>
      <c r="E377" s="1"/>
    </row>
    <row r="378" ht="12.75" customHeight="1">
      <c r="A378" s="1"/>
      <c r="B378" s="1"/>
      <c r="C378" s="1"/>
      <c r="D378" s="10"/>
      <c r="E378" s="1"/>
    </row>
    <row r="379" ht="12.75" customHeight="1">
      <c r="A379" s="1"/>
      <c r="B379" s="1"/>
      <c r="C379" s="1"/>
      <c r="D379" s="10"/>
      <c r="E379" s="1"/>
    </row>
    <row r="380" ht="12.75" customHeight="1">
      <c r="A380" s="1"/>
      <c r="B380" s="1"/>
      <c r="C380" s="1"/>
      <c r="D380" s="10"/>
      <c r="E380" s="1"/>
    </row>
    <row r="381" ht="12.75" customHeight="1">
      <c r="A381" s="1"/>
      <c r="B381" s="1"/>
      <c r="C381" s="1"/>
      <c r="D381" s="10"/>
      <c r="E381" s="1"/>
    </row>
    <row r="382" ht="12.75" customHeight="1">
      <c r="A382" s="1"/>
      <c r="B382" s="1"/>
      <c r="C382" s="1"/>
      <c r="D382" s="10"/>
      <c r="E382" s="1"/>
    </row>
    <row r="383" ht="12.75" customHeight="1">
      <c r="A383" s="1"/>
      <c r="B383" s="1"/>
      <c r="C383" s="1"/>
      <c r="D383" s="10"/>
      <c r="E383" s="1"/>
    </row>
    <row r="384" ht="12.75" customHeight="1">
      <c r="A384" s="1"/>
      <c r="B384" s="1"/>
      <c r="C384" s="1"/>
      <c r="D384" s="10"/>
      <c r="E384" s="1"/>
    </row>
    <row r="385" ht="12.75" customHeight="1">
      <c r="A385" s="1"/>
      <c r="B385" s="1"/>
      <c r="C385" s="1"/>
      <c r="D385" s="10"/>
      <c r="E385" s="1"/>
    </row>
    <row r="386" ht="12.75" customHeight="1">
      <c r="A386" s="1"/>
      <c r="B386" s="1"/>
      <c r="C386" s="1"/>
      <c r="D386" s="10"/>
      <c r="E386" s="1"/>
    </row>
    <row r="387" ht="12.75" customHeight="1">
      <c r="A387" s="1"/>
      <c r="B387" s="1"/>
      <c r="C387" s="1"/>
      <c r="D387" s="10"/>
      <c r="E387" s="1"/>
    </row>
    <row r="388" ht="12.75" customHeight="1">
      <c r="A388" s="1"/>
      <c r="B388" s="1"/>
      <c r="C388" s="1"/>
      <c r="D388" s="10"/>
      <c r="E388" s="1"/>
    </row>
    <row r="389" ht="12.75" customHeight="1">
      <c r="A389" s="1"/>
      <c r="B389" s="1"/>
      <c r="C389" s="1"/>
      <c r="D389" s="10"/>
      <c r="E389" s="1"/>
    </row>
    <row r="390" ht="12.75" customHeight="1">
      <c r="A390" s="1"/>
      <c r="B390" s="1"/>
      <c r="C390" s="1"/>
      <c r="D390" s="10"/>
      <c r="E390" s="1"/>
    </row>
    <row r="391" ht="12.75" customHeight="1">
      <c r="A391" s="1"/>
      <c r="B391" s="1"/>
      <c r="C391" s="1"/>
      <c r="D391" s="10"/>
      <c r="E391" s="1"/>
    </row>
    <row r="392" ht="12.75" customHeight="1">
      <c r="A392" s="1"/>
      <c r="B392" s="1"/>
      <c r="C392" s="1"/>
      <c r="D392" s="10"/>
      <c r="E392" s="1"/>
    </row>
    <row r="393" ht="12.75" customHeight="1">
      <c r="A393" s="1"/>
      <c r="B393" s="1"/>
      <c r="C393" s="1"/>
      <c r="D393" s="10"/>
      <c r="E393" s="1"/>
    </row>
    <row r="394" ht="12.75" customHeight="1">
      <c r="A394" s="1"/>
      <c r="B394" s="1"/>
      <c r="C394" s="1"/>
      <c r="D394" s="10"/>
      <c r="E394" s="1"/>
    </row>
    <row r="395" ht="12.75" customHeight="1">
      <c r="A395" s="1"/>
      <c r="B395" s="1"/>
      <c r="C395" s="1"/>
      <c r="D395" s="10"/>
      <c r="E395" s="1"/>
    </row>
    <row r="396" ht="12.75" customHeight="1">
      <c r="A396" s="1"/>
      <c r="B396" s="1"/>
      <c r="C396" s="1"/>
      <c r="D396" s="10"/>
      <c r="E396" s="1"/>
    </row>
    <row r="397" ht="12.75" customHeight="1">
      <c r="A397" s="1"/>
      <c r="B397" s="1"/>
      <c r="C397" s="1"/>
      <c r="D397" s="10"/>
      <c r="E397" s="1"/>
    </row>
    <row r="398" ht="12.75" customHeight="1">
      <c r="A398" s="1"/>
      <c r="B398" s="1"/>
      <c r="C398" s="1"/>
      <c r="D398" s="10"/>
      <c r="E398" s="1"/>
    </row>
    <row r="399" ht="12.75" customHeight="1">
      <c r="A399" s="1"/>
      <c r="B399" s="1"/>
      <c r="C399" s="1"/>
      <c r="D399" s="10"/>
      <c r="E399" s="1"/>
    </row>
    <row r="400" ht="12.75" customHeight="1">
      <c r="A400" s="1"/>
      <c r="B400" s="1"/>
      <c r="C400" s="1"/>
      <c r="D400" s="10"/>
      <c r="E400" s="1"/>
    </row>
    <row r="401" ht="12.75" customHeight="1">
      <c r="A401" s="1"/>
      <c r="B401" s="1"/>
      <c r="C401" s="1"/>
      <c r="D401" s="10"/>
      <c r="E401" s="1"/>
    </row>
    <row r="402" ht="12.75" customHeight="1">
      <c r="A402" s="1"/>
      <c r="B402" s="1"/>
      <c r="C402" s="1"/>
      <c r="D402" s="10"/>
      <c r="E402" s="1"/>
    </row>
    <row r="403" ht="12.75" customHeight="1">
      <c r="A403" s="1"/>
      <c r="B403" s="1"/>
      <c r="C403" s="1"/>
      <c r="D403" s="10"/>
      <c r="E403" s="1"/>
    </row>
    <row r="404" ht="12.75" customHeight="1">
      <c r="A404" s="1"/>
      <c r="B404" s="1"/>
      <c r="C404" s="1"/>
      <c r="D404" s="10"/>
      <c r="E404" s="1"/>
    </row>
    <row r="405" ht="12.75" customHeight="1">
      <c r="A405" s="1"/>
      <c r="B405" s="1"/>
      <c r="C405" s="1"/>
      <c r="D405" s="10"/>
      <c r="E405" s="1"/>
    </row>
    <row r="406" ht="12.75" customHeight="1">
      <c r="A406" s="1"/>
      <c r="B406" s="1"/>
      <c r="C406" s="1"/>
      <c r="D406" s="10"/>
      <c r="E406" s="1"/>
    </row>
    <row r="407" ht="12.75" customHeight="1">
      <c r="A407" s="1"/>
      <c r="B407" s="1"/>
      <c r="C407" s="1"/>
      <c r="D407" s="10"/>
      <c r="E407" s="1"/>
    </row>
    <row r="408" ht="12.75" customHeight="1">
      <c r="A408" s="1"/>
      <c r="B408" s="1"/>
      <c r="C408" s="1"/>
      <c r="D408" s="10"/>
      <c r="E408" s="1"/>
    </row>
    <row r="409" ht="12.75" customHeight="1">
      <c r="A409" s="1"/>
      <c r="B409" s="1"/>
      <c r="C409" s="1"/>
      <c r="D409" s="10"/>
      <c r="E409" s="1"/>
    </row>
    <row r="410" ht="12.75" customHeight="1">
      <c r="A410" s="1"/>
      <c r="B410" s="1"/>
      <c r="C410" s="1"/>
      <c r="D410" s="10"/>
      <c r="E410" s="1"/>
    </row>
    <row r="411" ht="12.75" customHeight="1">
      <c r="A411" s="1"/>
      <c r="B411" s="1"/>
      <c r="C411" s="1"/>
      <c r="D411" s="10"/>
      <c r="E411" s="1"/>
    </row>
    <row r="412" ht="12.75" customHeight="1">
      <c r="A412" s="1"/>
      <c r="B412" s="1"/>
      <c r="C412" s="1"/>
      <c r="D412" s="10"/>
      <c r="E412" s="1"/>
    </row>
    <row r="413" ht="12.75" customHeight="1">
      <c r="A413" s="1"/>
      <c r="B413" s="1"/>
      <c r="C413" s="1"/>
      <c r="D413" s="10"/>
      <c r="E413" s="1"/>
    </row>
    <row r="414" ht="12.75" customHeight="1">
      <c r="A414" s="1"/>
      <c r="B414" s="1"/>
      <c r="C414" s="1"/>
      <c r="D414" s="10"/>
      <c r="E414" s="1"/>
    </row>
    <row r="415" ht="12.75" customHeight="1">
      <c r="A415" s="1"/>
      <c r="B415" s="1"/>
      <c r="C415" s="1"/>
      <c r="D415" s="10"/>
      <c r="E415" s="1"/>
    </row>
    <row r="416" ht="12.75" customHeight="1">
      <c r="A416" s="1"/>
      <c r="B416" s="1"/>
      <c r="C416" s="1"/>
      <c r="D416" s="10"/>
      <c r="E416" s="1"/>
    </row>
    <row r="417" ht="12.75" customHeight="1">
      <c r="A417" s="1"/>
      <c r="B417" s="1"/>
      <c r="C417" s="1"/>
      <c r="D417" s="10"/>
      <c r="E417" s="1"/>
    </row>
    <row r="418" ht="12.75" customHeight="1">
      <c r="A418" s="1"/>
      <c r="B418" s="1"/>
      <c r="C418" s="1"/>
      <c r="D418" s="10"/>
      <c r="E418" s="1"/>
    </row>
    <row r="419" ht="12.75" customHeight="1">
      <c r="A419" s="1"/>
      <c r="B419" s="1"/>
      <c r="C419" s="1"/>
      <c r="D419" s="10"/>
      <c r="E419" s="1"/>
    </row>
    <row r="420" ht="12.75" customHeight="1">
      <c r="A420" s="1"/>
      <c r="B420" s="1"/>
      <c r="C420" s="1"/>
      <c r="D420" s="10"/>
      <c r="E420" s="1"/>
    </row>
    <row r="421" ht="12.75" customHeight="1">
      <c r="A421" s="1"/>
      <c r="B421" s="1"/>
      <c r="C421" s="1"/>
      <c r="D421" s="10"/>
      <c r="E421" s="1"/>
    </row>
    <row r="422" ht="12.75" customHeight="1">
      <c r="A422" s="1"/>
      <c r="B422" s="1"/>
      <c r="C422" s="1"/>
      <c r="D422" s="10"/>
      <c r="E422" s="1"/>
    </row>
    <row r="423" ht="12.75" customHeight="1">
      <c r="A423" s="1"/>
      <c r="B423" s="1"/>
      <c r="C423" s="1"/>
      <c r="D423" s="10"/>
      <c r="E423" s="1"/>
    </row>
    <row r="424" ht="12.75" customHeight="1">
      <c r="A424" s="1"/>
      <c r="B424" s="1"/>
      <c r="C424" s="1"/>
      <c r="D424" s="10"/>
      <c r="E424" s="1"/>
    </row>
    <row r="425" ht="12.75" customHeight="1">
      <c r="A425" s="1"/>
      <c r="B425" s="1"/>
      <c r="C425" s="1"/>
      <c r="D425" s="10"/>
      <c r="E425" s="1"/>
    </row>
    <row r="426" ht="12.75" customHeight="1">
      <c r="A426" s="1"/>
      <c r="B426" s="1"/>
      <c r="C426" s="1"/>
      <c r="D426" s="10"/>
      <c r="E426" s="1"/>
    </row>
    <row r="427" ht="12.75" customHeight="1">
      <c r="A427" s="1"/>
      <c r="B427" s="1"/>
      <c r="C427" s="1"/>
      <c r="D427" s="10"/>
      <c r="E427" s="1"/>
    </row>
    <row r="428" ht="12.75" customHeight="1">
      <c r="A428" s="1"/>
      <c r="B428" s="1"/>
      <c r="C428" s="1"/>
      <c r="D428" s="10"/>
      <c r="E428" s="1"/>
    </row>
    <row r="429" ht="12.75" customHeight="1">
      <c r="A429" s="1"/>
      <c r="B429" s="1"/>
      <c r="C429" s="1"/>
      <c r="D429" s="10"/>
      <c r="E429" s="1"/>
    </row>
    <row r="430" ht="12.75" customHeight="1">
      <c r="A430" s="1"/>
      <c r="B430" s="1"/>
      <c r="C430" s="1"/>
      <c r="D430" s="10"/>
      <c r="E430" s="1"/>
    </row>
    <row r="431" ht="12.75" customHeight="1">
      <c r="A431" s="1"/>
      <c r="B431" s="1"/>
      <c r="C431" s="1"/>
      <c r="D431" s="10"/>
      <c r="E431" s="1"/>
    </row>
    <row r="432" ht="12.75" customHeight="1">
      <c r="A432" s="1"/>
      <c r="B432" s="1"/>
      <c r="C432" s="1"/>
      <c r="D432" s="10"/>
      <c r="E432" s="1"/>
    </row>
    <row r="433" ht="12.75" customHeight="1">
      <c r="A433" s="1"/>
      <c r="B433" s="1"/>
      <c r="C433" s="1"/>
      <c r="D433" s="10"/>
      <c r="E433" s="1"/>
    </row>
    <row r="434" ht="12.75" customHeight="1">
      <c r="A434" s="1"/>
      <c r="B434" s="1"/>
      <c r="C434" s="1"/>
      <c r="D434" s="10"/>
      <c r="E434" s="1"/>
    </row>
    <row r="435" ht="12.75" customHeight="1">
      <c r="A435" s="1"/>
      <c r="B435" s="1"/>
      <c r="C435" s="1"/>
      <c r="D435" s="10"/>
      <c r="E435" s="1"/>
    </row>
    <row r="436" ht="12.75" customHeight="1">
      <c r="A436" s="1"/>
      <c r="B436" s="1"/>
      <c r="C436" s="1"/>
      <c r="D436" s="10"/>
      <c r="E436" s="1"/>
    </row>
    <row r="437" ht="12.75" customHeight="1">
      <c r="A437" s="1"/>
      <c r="B437" s="1"/>
      <c r="C437" s="1"/>
      <c r="D437" s="10"/>
      <c r="E437" s="1"/>
    </row>
    <row r="438" ht="12.75" customHeight="1">
      <c r="A438" s="1"/>
      <c r="B438" s="1"/>
      <c r="C438" s="1"/>
      <c r="D438" s="10"/>
      <c r="E438" s="1"/>
    </row>
    <row r="439" ht="12.75" customHeight="1">
      <c r="A439" s="1"/>
      <c r="B439" s="1"/>
      <c r="C439" s="1"/>
      <c r="D439" s="10"/>
      <c r="E439" s="1"/>
    </row>
    <row r="440" ht="12.75" customHeight="1">
      <c r="A440" s="1"/>
      <c r="B440" s="1"/>
      <c r="C440" s="1"/>
      <c r="D440" s="10"/>
      <c r="E440" s="1"/>
    </row>
    <row r="441" ht="12.75" customHeight="1">
      <c r="A441" s="1"/>
      <c r="B441" s="1"/>
      <c r="C441" s="1"/>
      <c r="D441" s="10"/>
      <c r="E441" s="1"/>
    </row>
    <row r="442" ht="12.75" customHeight="1">
      <c r="A442" s="1"/>
      <c r="B442" s="1"/>
      <c r="C442" s="1"/>
      <c r="D442" s="10"/>
      <c r="E442" s="1"/>
    </row>
    <row r="443" ht="12.75" customHeight="1">
      <c r="A443" s="1"/>
      <c r="B443" s="1"/>
      <c r="C443" s="1"/>
      <c r="D443" s="10"/>
      <c r="E443" s="1"/>
    </row>
    <row r="444" ht="12.75" customHeight="1">
      <c r="A444" s="1"/>
      <c r="B444" s="1"/>
      <c r="C444" s="1"/>
      <c r="D444" s="10"/>
      <c r="E444" s="1"/>
    </row>
    <row r="445" ht="12.75" customHeight="1">
      <c r="A445" s="1"/>
      <c r="B445" s="1"/>
      <c r="C445" s="1"/>
      <c r="D445" s="10"/>
      <c r="E445" s="1"/>
    </row>
    <row r="446" ht="12.75" customHeight="1">
      <c r="A446" s="1"/>
      <c r="B446" s="1"/>
      <c r="C446" s="1"/>
      <c r="D446" s="10"/>
      <c r="E446" s="1"/>
    </row>
    <row r="447" ht="12.75" customHeight="1">
      <c r="A447" s="1"/>
      <c r="B447" s="1"/>
      <c r="C447" s="1"/>
      <c r="D447" s="10"/>
      <c r="E447" s="1"/>
    </row>
    <row r="448" ht="12.75" customHeight="1">
      <c r="A448" s="1"/>
      <c r="B448" s="1"/>
      <c r="C448" s="1"/>
      <c r="D448" s="10"/>
      <c r="E448" s="1"/>
    </row>
    <row r="449" ht="12.75" customHeight="1">
      <c r="A449" s="1"/>
      <c r="B449" s="1"/>
      <c r="C449" s="1"/>
      <c r="D449" s="10"/>
      <c r="E449" s="1"/>
    </row>
    <row r="450" ht="12.75" customHeight="1">
      <c r="A450" s="1"/>
      <c r="B450" s="1"/>
      <c r="C450" s="1"/>
      <c r="D450" s="10"/>
      <c r="E450" s="1"/>
    </row>
    <row r="451" ht="12.75" customHeight="1">
      <c r="A451" s="1"/>
      <c r="B451" s="1"/>
      <c r="C451" s="1"/>
      <c r="D451" s="10"/>
      <c r="E451" s="1"/>
    </row>
    <row r="452" ht="12.75" customHeight="1">
      <c r="A452" s="1"/>
      <c r="B452" s="1"/>
      <c r="C452" s="1"/>
      <c r="D452" s="10"/>
      <c r="E452" s="1"/>
    </row>
    <row r="453" ht="12.75" customHeight="1">
      <c r="A453" s="1"/>
      <c r="B453" s="1"/>
      <c r="C453" s="1"/>
      <c r="D453" s="10"/>
      <c r="E453" s="1"/>
    </row>
    <row r="454" ht="12.75" customHeight="1">
      <c r="A454" s="1"/>
      <c r="B454" s="1"/>
      <c r="C454" s="1"/>
      <c r="D454" s="10"/>
      <c r="E454" s="1"/>
    </row>
    <row r="455" ht="12.75" customHeight="1">
      <c r="A455" s="1"/>
      <c r="B455" s="1"/>
      <c r="C455" s="1"/>
      <c r="D455" s="10"/>
      <c r="E455" s="1"/>
    </row>
    <row r="456" ht="12.75" customHeight="1">
      <c r="A456" s="1"/>
      <c r="B456" s="1"/>
      <c r="C456" s="1"/>
      <c r="D456" s="10"/>
      <c r="E456" s="1"/>
    </row>
    <row r="457" ht="12.75" customHeight="1">
      <c r="A457" s="1"/>
      <c r="B457" s="1"/>
      <c r="C457" s="1"/>
      <c r="D457" s="10"/>
      <c r="E457" s="1"/>
    </row>
    <row r="458" ht="12.75" customHeight="1">
      <c r="A458" s="1"/>
      <c r="B458" s="1"/>
      <c r="C458" s="1"/>
      <c r="D458" s="10"/>
      <c r="E458" s="1"/>
    </row>
    <row r="459" ht="12.75" customHeight="1">
      <c r="A459" s="1"/>
      <c r="B459" s="1"/>
      <c r="C459" s="1"/>
      <c r="D459" s="10"/>
      <c r="E459" s="1"/>
    </row>
    <row r="460" ht="12.75" customHeight="1">
      <c r="A460" s="1"/>
      <c r="B460" s="1"/>
      <c r="C460" s="1"/>
      <c r="D460" s="10"/>
      <c r="E460" s="1"/>
    </row>
    <row r="461" ht="12.75" customHeight="1">
      <c r="A461" s="1"/>
      <c r="B461" s="1"/>
      <c r="C461" s="1"/>
      <c r="D461" s="10"/>
      <c r="E461" s="1"/>
    </row>
    <row r="462" ht="12.75" customHeight="1">
      <c r="A462" s="1"/>
      <c r="B462" s="1"/>
      <c r="C462" s="1"/>
      <c r="D462" s="10"/>
      <c r="E462" s="1"/>
    </row>
    <row r="463" ht="12.75" customHeight="1">
      <c r="A463" s="1"/>
      <c r="B463" s="1"/>
      <c r="C463" s="1"/>
      <c r="D463" s="10"/>
      <c r="E463" s="1"/>
    </row>
    <row r="464" ht="12.75" customHeight="1">
      <c r="A464" s="1"/>
      <c r="B464" s="1"/>
      <c r="C464" s="1"/>
      <c r="D464" s="10"/>
      <c r="E464" s="1"/>
    </row>
    <row r="465" ht="12.75" customHeight="1">
      <c r="A465" s="1"/>
      <c r="B465" s="1"/>
      <c r="C465" s="1"/>
      <c r="D465" s="10"/>
      <c r="E465" s="1"/>
    </row>
    <row r="466" ht="12.75" customHeight="1">
      <c r="A466" s="1"/>
      <c r="B466" s="1"/>
      <c r="C466" s="1"/>
      <c r="D466" s="10"/>
      <c r="E466" s="1"/>
    </row>
    <row r="467" ht="12.75" customHeight="1">
      <c r="A467" s="1"/>
      <c r="B467" s="1"/>
      <c r="C467" s="1"/>
      <c r="D467" s="10"/>
      <c r="E467" s="1"/>
    </row>
    <row r="468" ht="12.75" customHeight="1">
      <c r="A468" s="1"/>
      <c r="B468" s="1"/>
      <c r="C468" s="1"/>
      <c r="D468" s="10"/>
      <c r="E468" s="1"/>
    </row>
    <row r="469" ht="12.75" customHeight="1">
      <c r="A469" s="1"/>
      <c r="B469" s="1"/>
      <c r="C469" s="1"/>
      <c r="D469" s="10"/>
      <c r="E469" s="1"/>
    </row>
    <row r="470" ht="12.75" customHeight="1">
      <c r="A470" s="1"/>
      <c r="B470" s="1"/>
      <c r="C470" s="1"/>
      <c r="D470" s="10"/>
      <c r="E470" s="1"/>
    </row>
    <row r="471" ht="12.75" customHeight="1">
      <c r="A471" s="1"/>
      <c r="B471" s="1"/>
      <c r="C471" s="1"/>
      <c r="D471" s="10"/>
      <c r="E471" s="1"/>
    </row>
    <row r="472" ht="12.75" customHeight="1">
      <c r="A472" s="1"/>
      <c r="B472" s="1"/>
      <c r="C472" s="1"/>
      <c r="D472" s="10"/>
      <c r="E472" s="1"/>
    </row>
    <row r="473" ht="12.75" customHeight="1">
      <c r="A473" s="1"/>
      <c r="B473" s="1"/>
      <c r="C473" s="1"/>
      <c r="D473" s="10"/>
      <c r="E473" s="1"/>
    </row>
    <row r="474" ht="12.75" customHeight="1">
      <c r="A474" s="1"/>
      <c r="B474" s="1"/>
      <c r="C474" s="1"/>
      <c r="D474" s="10"/>
      <c r="E474" s="1"/>
    </row>
    <row r="475" ht="12.75" customHeight="1">
      <c r="A475" s="1"/>
      <c r="B475" s="1"/>
      <c r="C475" s="1"/>
      <c r="D475" s="10"/>
      <c r="E475" s="1"/>
    </row>
    <row r="476" ht="12.75" customHeight="1">
      <c r="A476" s="1"/>
      <c r="B476" s="1"/>
      <c r="C476" s="1"/>
      <c r="D476" s="10"/>
      <c r="E476" s="1"/>
    </row>
    <row r="477" ht="12.75" customHeight="1">
      <c r="A477" s="1"/>
      <c r="B477" s="1"/>
      <c r="C477" s="1"/>
      <c r="D477" s="10"/>
      <c r="E477" s="1"/>
    </row>
    <row r="478" ht="12.75" customHeight="1">
      <c r="A478" s="1"/>
      <c r="B478" s="1"/>
      <c r="C478" s="1"/>
      <c r="D478" s="10"/>
      <c r="E478" s="1"/>
    </row>
    <row r="479" ht="12.75" customHeight="1">
      <c r="A479" s="1"/>
      <c r="B479" s="1"/>
      <c r="C479" s="1"/>
      <c r="D479" s="10"/>
      <c r="E479" s="1"/>
    </row>
    <row r="480" ht="12.75" customHeight="1">
      <c r="A480" s="1"/>
      <c r="B480" s="1"/>
      <c r="C480" s="1"/>
      <c r="D480" s="10"/>
      <c r="E480" s="1"/>
    </row>
    <row r="481" ht="12.75" customHeight="1">
      <c r="A481" s="1"/>
      <c r="B481" s="1"/>
      <c r="C481" s="1"/>
      <c r="D481" s="10"/>
      <c r="E481" s="1"/>
    </row>
    <row r="482" ht="12.75" customHeight="1">
      <c r="A482" s="1"/>
      <c r="B482" s="1"/>
      <c r="C482" s="1"/>
      <c r="D482" s="10"/>
      <c r="E482" s="1"/>
    </row>
    <row r="483" ht="12.75" customHeight="1">
      <c r="A483" s="1"/>
      <c r="B483" s="1"/>
      <c r="C483" s="1"/>
      <c r="D483" s="10"/>
      <c r="E483" s="1"/>
    </row>
    <row r="484" ht="12.75" customHeight="1">
      <c r="A484" s="1"/>
      <c r="B484" s="1"/>
      <c r="C484" s="1"/>
      <c r="D484" s="10"/>
      <c r="E484" s="1"/>
    </row>
    <row r="485" ht="12.75" customHeight="1">
      <c r="A485" s="1"/>
      <c r="B485" s="1"/>
      <c r="C485" s="1"/>
      <c r="D485" s="10"/>
      <c r="E485" s="1"/>
    </row>
    <row r="486" ht="12.75" customHeight="1">
      <c r="A486" s="1"/>
      <c r="B486" s="1"/>
      <c r="C486" s="1"/>
      <c r="D486" s="10"/>
      <c r="E486" s="1"/>
    </row>
    <row r="487" ht="12.75" customHeight="1">
      <c r="A487" s="1"/>
      <c r="B487" s="1"/>
      <c r="C487" s="1"/>
      <c r="D487" s="10"/>
      <c r="E487" s="1"/>
    </row>
    <row r="488" ht="12.75" customHeight="1">
      <c r="A488" s="1"/>
      <c r="B488" s="1"/>
      <c r="C488" s="1"/>
      <c r="D488" s="10"/>
      <c r="E488" s="1"/>
    </row>
    <row r="489" ht="12.75" customHeight="1">
      <c r="A489" s="1"/>
      <c r="B489" s="1"/>
      <c r="C489" s="1"/>
      <c r="D489" s="10"/>
      <c r="E489" s="1"/>
    </row>
    <row r="490" ht="12.75" customHeight="1">
      <c r="A490" s="1"/>
      <c r="B490" s="1"/>
      <c r="C490" s="1"/>
      <c r="D490" s="10"/>
      <c r="E490" s="1"/>
    </row>
    <row r="491" ht="12.75" customHeight="1">
      <c r="A491" s="1"/>
      <c r="B491" s="1"/>
      <c r="C491" s="1"/>
      <c r="D491" s="10"/>
      <c r="E491" s="1"/>
    </row>
    <row r="492" ht="12.75" customHeight="1">
      <c r="A492" s="1"/>
      <c r="B492" s="1"/>
      <c r="C492" s="1"/>
      <c r="D492" s="10"/>
      <c r="E492" s="1"/>
    </row>
    <row r="493" ht="12.75" customHeight="1">
      <c r="A493" s="1"/>
      <c r="B493" s="1"/>
      <c r="C493" s="1"/>
      <c r="D493" s="10"/>
      <c r="E493" s="1"/>
    </row>
    <row r="494" ht="12.75" customHeight="1">
      <c r="A494" s="1"/>
      <c r="B494" s="1"/>
      <c r="C494" s="1"/>
      <c r="D494" s="10"/>
      <c r="E494" s="1"/>
    </row>
    <row r="495" ht="12.75" customHeight="1">
      <c r="A495" s="1"/>
      <c r="B495" s="1"/>
      <c r="C495" s="1"/>
      <c r="D495" s="10"/>
      <c r="E495" s="1"/>
    </row>
    <row r="496" ht="12.75" customHeight="1">
      <c r="A496" s="1"/>
      <c r="B496" s="1"/>
      <c r="C496" s="1"/>
      <c r="D496" s="10"/>
      <c r="E496" s="1"/>
    </row>
    <row r="497" ht="12.75" customHeight="1">
      <c r="A497" s="1"/>
      <c r="B497" s="1"/>
      <c r="C497" s="1"/>
      <c r="D497" s="10"/>
      <c r="E497" s="1"/>
    </row>
    <row r="498" ht="12.75" customHeight="1">
      <c r="A498" s="1"/>
      <c r="B498" s="1"/>
      <c r="C498" s="1"/>
      <c r="D498" s="10"/>
      <c r="E498" s="1"/>
    </row>
    <row r="499" ht="12.75" customHeight="1">
      <c r="A499" s="1"/>
      <c r="B499" s="1"/>
      <c r="C499" s="1"/>
      <c r="D499" s="10"/>
      <c r="E499" s="1"/>
    </row>
    <row r="500" ht="12.75" customHeight="1">
      <c r="A500" s="1"/>
      <c r="B500" s="1"/>
      <c r="C500" s="1"/>
      <c r="D500" s="10"/>
      <c r="E500" s="1"/>
    </row>
    <row r="501" ht="12.75" customHeight="1">
      <c r="A501" s="1"/>
      <c r="B501" s="1"/>
      <c r="C501" s="1"/>
      <c r="D501" s="10"/>
      <c r="E501" s="1"/>
    </row>
    <row r="502" ht="12.75" customHeight="1">
      <c r="A502" s="1"/>
      <c r="B502" s="1"/>
      <c r="C502" s="1"/>
      <c r="D502" s="10"/>
      <c r="E502" s="1"/>
    </row>
    <row r="503" ht="12.75" customHeight="1">
      <c r="A503" s="1"/>
      <c r="B503" s="1"/>
      <c r="C503" s="1"/>
      <c r="D503" s="10"/>
      <c r="E503" s="1"/>
    </row>
    <row r="504" ht="12.75" customHeight="1">
      <c r="A504" s="1"/>
      <c r="B504" s="1"/>
      <c r="C504" s="1"/>
      <c r="D504" s="10"/>
      <c r="E504" s="1"/>
    </row>
    <row r="505" ht="12.75" customHeight="1">
      <c r="A505" s="1"/>
      <c r="B505" s="1"/>
      <c r="C505" s="1"/>
      <c r="D505" s="10"/>
      <c r="E505" s="1"/>
    </row>
    <row r="506" ht="12.75" customHeight="1">
      <c r="A506" s="1"/>
      <c r="B506" s="1"/>
      <c r="C506" s="1"/>
      <c r="D506" s="10"/>
      <c r="E506" s="1"/>
    </row>
    <row r="507" ht="12.75" customHeight="1">
      <c r="A507" s="1"/>
      <c r="B507" s="1"/>
      <c r="C507" s="1"/>
      <c r="D507" s="10"/>
      <c r="E507" s="1"/>
    </row>
    <row r="508" ht="12.75" customHeight="1">
      <c r="A508" s="1"/>
      <c r="B508" s="1"/>
      <c r="C508" s="1"/>
      <c r="D508" s="10"/>
      <c r="E508" s="1"/>
    </row>
    <row r="509" ht="12.75" customHeight="1">
      <c r="A509" s="1"/>
      <c r="B509" s="1"/>
      <c r="C509" s="1"/>
      <c r="D509" s="10"/>
      <c r="E509" s="1"/>
    </row>
    <row r="510" ht="12.75" customHeight="1">
      <c r="A510" s="1"/>
      <c r="B510" s="1"/>
      <c r="C510" s="1"/>
      <c r="D510" s="10"/>
      <c r="E510" s="1"/>
    </row>
    <row r="511" ht="12.75" customHeight="1">
      <c r="A511" s="1"/>
      <c r="B511" s="1"/>
      <c r="C511" s="1"/>
      <c r="D511" s="10"/>
      <c r="E511" s="1"/>
    </row>
    <row r="512" ht="12.75" customHeight="1">
      <c r="A512" s="1"/>
      <c r="B512" s="1"/>
      <c r="C512" s="1"/>
      <c r="D512" s="10"/>
      <c r="E512" s="1"/>
    </row>
    <row r="513" ht="12.75" customHeight="1">
      <c r="A513" s="1"/>
      <c r="B513" s="1"/>
      <c r="C513" s="1"/>
      <c r="D513" s="10"/>
      <c r="E513" s="1"/>
    </row>
    <row r="514" ht="12.75" customHeight="1">
      <c r="A514" s="1"/>
      <c r="B514" s="1"/>
      <c r="C514" s="1"/>
      <c r="D514" s="10"/>
      <c r="E514" s="1"/>
    </row>
    <row r="515" ht="12.75" customHeight="1">
      <c r="A515" s="1"/>
      <c r="B515" s="1"/>
      <c r="C515" s="1"/>
      <c r="D515" s="10"/>
      <c r="E515" s="1"/>
    </row>
    <row r="516" ht="12.75" customHeight="1">
      <c r="A516" s="1"/>
      <c r="B516" s="1"/>
      <c r="C516" s="1"/>
      <c r="D516" s="10"/>
      <c r="E516" s="1"/>
    </row>
    <row r="517" ht="12.75" customHeight="1">
      <c r="A517" s="1"/>
      <c r="B517" s="1"/>
      <c r="C517" s="1"/>
      <c r="D517" s="10"/>
      <c r="E517" s="1"/>
    </row>
    <row r="518" ht="12.75" customHeight="1">
      <c r="A518" s="1"/>
      <c r="B518" s="1"/>
      <c r="C518" s="1"/>
      <c r="D518" s="10"/>
      <c r="E518" s="1"/>
    </row>
    <row r="519" ht="12.75" customHeight="1">
      <c r="A519" s="1"/>
      <c r="B519" s="1"/>
      <c r="C519" s="1"/>
      <c r="D519" s="10"/>
      <c r="E519" s="1"/>
    </row>
    <row r="520" ht="12.75" customHeight="1">
      <c r="A520" s="1"/>
      <c r="B520" s="1"/>
      <c r="C520" s="1"/>
      <c r="D520" s="10"/>
      <c r="E520" s="1"/>
    </row>
    <row r="521" ht="12.75" customHeight="1">
      <c r="A521" s="1"/>
      <c r="B521" s="1"/>
      <c r="C521" s="1"/>
      <c r="D521" s="10"/>
      <c r="E521" s="1"/>
    </row>
    <row r="522" ht="12.75" customHeight="1">
      <c r="A522" s="1"/>
      <c r="B522" s="1"/>
      <c r="C522" s="1"/>
      <c r="D522" s="10"/>
      <c r="E522" s="1"/>
    </row>
    <row r="523" ht="12.75" customHeight="1">
      <c r="A523" s="1"/>
      <c r="B523" s="1"/>
      <c r="C523" s="1"/>
      <c r="D523" s="10"/>
      <c r="E523" s="1"/>
    </row>
    <row r="524" ht="12.75" customHeight="1">
      <c r="A524" s="1"/>
      <c r="B524" s="1"/>
      <c r="C524" s="1"/>
      <c r="D524" s="10"/>
      <c r="E524" s="1"/>
    </row>
    <row r="525" ht="12.75" customHeight="1">
      <c r="A525" s="1"/>
      <c r="B525" s="1"/>
      <c r="C525" s="1"/>
      <c r="D525" s="10"/>
      <c r="E525" s="1"/>
    </row>
    <row r="526" ht="12.75" customHeight="1">
      <c r="A526" s="1"/>
      <c r="B526" s="1"/>
      <c r="C526" s="1"/>
      <c r="D526" s="10"/>
      <c r="E526" s="1"/>
    </row>
    <row r="527" ht="12.75" customHeight="1">
      <c r="A527" s="1"/>
      <c r="B527" s="1"/>
      <c r="C527" s="1"/>
      <c r="D527" s="10"/>
      <c r="E527" s="1"/>
    </row>
    <row r="528" ht="12.75" customHeight="1">
      <c r="A528" s="1"/>
      <c r="B528" s="1"/>
      <c r="C528" s="1"/>
      <c r="D528" s="10"/>
      <c r="E528" s="1"/>
    </row>
    <row r="529" ht="12.75" customHeight="1">
      <c r="A529" s="1"/>
      <c r="B529" s="1"/>
      <c r="C529" s="1"/>
      <c r="D529" s="10"/>
      <c r="E529" s="1"/>
    </row>
    <row r="530" ht="12.75" customHeight="1">
      <c r="A530" s="1"/>
      <c r="B530" s="1"/>
      <c r="C530" s="1"/>
      <c r="D530" s="10"/>
      <c r="E530" s="1"/>
    </row>
    <row r="531" ht="12.75" customHeight="1">
      <c r="A531" s="1"/>
      <c r="B531" s="1"/>
      <c r="C531" s="1"/>
      <c r="D531" s="10"/>
      <c r="E531" s="1"/>
    </row>
    <row r="532" ht="12.75" customHeight="1">
      <c r="A532" s="1"/>
      <c r="B532" s="1"/>
      <c r="C532" s="1"/>
      <c r="D532" s="10"/>
      <c r="E532" s="1"/>
    </row>
    <row r="533" ht="12.75" customHeight="1">
      <c r="A533" s="1"/>
      <c r="B533" s="1"/>
      <c r="C533" s="1"/>
      <c r="D533" s="10"/>
      <c r="E533" s="1"/>
    </row>
    <row r="534" ht="12.75" customHeight="1">
      <c r="A534" s="1"/>
      <c r="B534" s="1"/>
      <c r="C534" s="1"/>
      <c r="D534" s="10"/>
      <c r="E534" s="1"/>
    </row>
    <row r="535" ht="12.75" customHeight="1">
      <c r="A535" s="1"/>
      <c r="B535" s="1"/>
      <c r="C535" s="1"/>
      <c r="D535" s="10"/>
      <c r="E535" s="1"/>
    </row>
    <row r="536" ht="12.75" customHeight="1">
      <c r="A536" s="1"/>
      <c r="B536" s="1"/>
      <c r="C536" s="1"/>
      <c r="D536" s="10"/>
      <c r="E536" s="1"/>
    </row>
    <row r="537" ht="12.75" customHeight="1">
      <c r="A537" s="1"/>
      <c r="B537" s="1"/>
      <c r="C537" s="1"/>
      <c r="D537" s="10"/>
      <c r="E537" s="1"/>
    </row>
    <row r="538" ht="12.75" customHeight="1">
      <c r="A538" s="1"/>
      <c r="B538" s="1"/>
      <c r="C538" s="1"/>
      <c r="D538" s="10"/>
      <c r="E538" s="1"/>
    </row>
    <row r="539" ht="12.75" customHeight="1">
      <c r="A539" s="1"/>
      <c r="B539" s="1"/>
      <c r="C539" s="1"/>
      <c r="D539" s="10"/>
      <c r="E539" s="1"/>
    </row>
    <row r="540" ht="12.75" customHeight="1">
      <c r="A540" s="1"/>
      <c r="B540" s="1"/>
      <c r="C540" s="1"/>
      <c r="D540" s="10"/>
      <c r="E540" s="1"/>
    </row>
    <row r="541" ht="12.75" customHeight="1">
      <c r="A541" s="1"/>
      <c r="B541" s="1"/>
      <c r="C541" s="1"/>
      <c r="D541" s="10"/>
      <c r="E541" s="1"/>
    </row>
    <row r="542" ht="12.75" customHeight="1">
      <c r="A542" s="1"/>
      <c r="B542" s="1"/>
      <c r="C542" s="1"/>
      <c r="D542" s="10"/>
      <c r="E542" s="1"/>
    </row>
    <row r="543" ht="12.75" customHeight="1">
      <c r="A543" s="1"/>
      <c r="B543" s="1"/>
      <c r="C543" s="1"/>
      <c r="D543" s="10"/>
      <c r="E543" s="1"/>
    </row>
    <row r="544" ht="12.75" customHeight="1">
      <c r="A544" s="1"/>
      <c r="B544" s="1"/>
      <c r="C544" s="1"/>
      <c r="D544" s="10"/>
      <c r="E544" s="1"/>
    </row>
    <row r="545" ht="12.75" customHeight="1">
      <c r="A545" s="1"/>
      <c r="B545" s="1"/>
      <c r="C545" s="1"/>
      <c r="D545" s="10"/>
      <c r="E545" s="1"/>
    </row>
    <row r="546" ht="12.75" customHeight="1">
      <c r="A546" s="1"/>
      <c r="B546" s="1"/>
      <c r="C546" s="1"/>
      <c r="D546" s="10"/>
      <c r="E546" s="1"/>
    </row>
    <row r="547" ht="12.75" customHeight="1">
      <c r="A547" s="1"/>
      <c r="B547" s="1"/>
      <c r="C547" s="1"/>
      <c r="D547" s="10"/>
      <c r="E547" s="1"/>
    </row>
    <row r="548" ht="12.75" customHeight="1">
      <c r="A548" s="1"/>
      <c r="B548" s="1"/>
      <c r="C548" s="1"/>
      <c r="D548" s="10"/>
      <c r="E548" s="1"/>
    </row>
    <row r="549" ht="12.75" customHeight="1">
      <c r="A549" s="1"/>
      <c r="B549" s="1"/>
      <c r="C549" s="1"/>
      <c r="D549" s="10"/>
      <c r="E549" s="1"/>
    </row>
    <row r="550" ht="12.75" customHeight="1">
      <c r="A550" s="1"/>
      <c r="B550" s="1"/>
      <c r="C550" s="1"/>
      <c r="D550" s="10"/>
      <c r="E550" s="1"/>
    </row>
    <row r="551" ht="12.75" customHeight="1">
      <c r="A551" s="1"/>
      <c r="B551" s="1"/>
      <c r="C551" s="1"/>
      <c r="D551" s="10"/>
      <c r="E551" s="1"/>
    </row>
    <row r="552" ht="12.75" customHeight="1">
      <c r="A552" s="1"/>
      <c r="B552" s="1"/>
      <c r="C552" s="1"/>
      <c r="D552" s="10"/>
      <c r="E552" s="1"/>
    </row>
    <row r="553" ht="12.75" customHeight="1">
      <c r="A553" s="1"/>
      <c r="B553" s="1"/>
      <c r="C553" s="1"/>
      <c r="D553" s="10"/>
      <c r="E553" s="1"/>
    </row>
    <row r="554" ht="12.75" customHeight="1">
      <c r="A554" s="1"/>
      <c r="B554" s="1"/>
      <c r="C554" s="1"/>
      <c r="D554" s="10"/>
      <c r="E554" s="1"/>
    </row>
    <row r="555" ht="12.75" customHeight="1">
      <c r="A555" s="1"/>
      <c r="B555" s="1"/>
      <c r="C555" s="1"/>
      <c r="D555" s="10"/>
      <c r="E555" s="1"/>
    </row>
    <row r="556" ht="12.75" customHeight="1">
      <c r="A556" s="1"/>
      <c r="B556" s="1"/>
      <c r="C556" s="1"/>
      <c r="D556" s="10"/>
      <c r="E556" s="1"/>
    </row>
    <row r="557" ht="12.75" customHeight="1">
      <c r="A557" s="1"/>
      <c r="B557" s="1"/>
      <c r="C557" s="1"/>
      <c r="D557" s="10"/>
      <c r="E557" s="1"/>
    </row>
    <row r="558" ht="12.75" customHeight="1">
      <c r="A558" s="1"/>
      <c r="B558" s="1"/>
      <c r="C558" s="1"/>
      <c r="D558" s="10"/>
      <c r="E558" s="1"/>
    </row>
    <row r="559" ht="12.75" customHeight="1">
      <c r="A559" s="1"/>
      <c r="B559" s="1"/>
      <c r="C559" s="1"/>
      <c r="D559" s="10"/>
      <c r="E559" s="1"/>
    </row>
    <row r="560" ht="12.75" customHeight="1">
      <c r="A560" s="1"/>
      <c r="B560" s="1"/>
      <c r="C560" s="1"/>
      <c r="D560" s="10"/>
      <c r="E560" s="1"/>
    </row>
    <row r="561" ht="12.75" customHeight="1">
      <c r="A561" s="1"/>
      <c r="B561" s="1"/>
      <c r="C561" s="1"/>
      <c r="D561" s="10"/>
      <c r="E561" s="1"/>
    </row>
    <row r="562" ht="12.75" customHeight="1">
      <c r="A562" s="1"/>
      <c r="B562" s="1"/>
      <c r="C562" s="1"/>
      <c r="D562" s="10"/>
      <c r="E562" s="1"/>
    </row>
    <row r="563" ht="12.75" customHeight="1">
      <c r="A563" s="1"/>
      <c r="B563" s="1"/>
      <c r="C563" s="1"/>
      <c r="D563" s="10"/>
      <c r="E563" s="1"/>
    </row>
    <row r="564" ht="12.75" customHeight="1">
      <c r="A564" s="1"/>
      <c r="B564" s="1"/>
      <c r="C564" s="1"/>
      <c r="D564" s="10"/>
      <c r="E564" s="1"/>
    </row>
    <row r="565" ht="12.75" customHeight="1">
      <c r="A565" s="1"/>
      <c r="B565" s="1"/>
      <c r="C565" s="1"/>
      <c r="D565" s="10"/>
      <c r="E565" s="1"/>
    </row>
    <row r="566" ht="12.75" customHeight="1">
      <c r="A566" s="1"/>
      <c r="B566" s="1"/>
      <c r="C566" s="1"/>
      <c r="D566" s="10"/>
      <c r="E566" s="1"/>
    </row>
    <row r="567" ht="12.75" customHeight="1">
      <c r="A567" s="1"/>
      <c r="B567" s="1"/>
      <c r="C567" s="1"/>
      <c r="D567" s="10"/>
      <c r="E567" s="1"/>
    </row>
    <row r="568" ht="12.75" customHeight="1">
      <c r="A568" s="1"/>
      <c r="B568" s="1"/>
      <c r="C568" s="1"/>
      <c r="D568" s="10"/>
      <c r="E568" s="1"/>
    </row>
    <row r="569" ht="12.75" customHeight="1">
      <c r="A569" s="1"/>
      <c r="B569" s="1"/>
      <c r="C569" s="1"/>
      <c r="D569" s="10"/>
      <c r="E569" s="1"/>
    </row>
    <row r="570" ht="12.75" customHeight="1">
      <c r="A570" s="1"/>
      <c r="B570" s="1"/>
      <c r="C570" s="1"/>
      <c r="D570" s="10"/>
      <c r="E570" s="1"/>
    </row>
    <row r="571" ht="12.75" customHeight="1">
      <c r="A571" s="1"/>
      <c r="B571" s="1"/>
      <c r="C571" s="1"/>
      <c r="D571" s="10"/>
      <c r="E571" s="1"/>
    </row>
    <row r="572" ht="12.75" customHeight="1">
      <c r="A572" s="1"/>
      <c r="B572" s="1"/>
      <c r="C572" s="1"/>
      <c r="D572" s="10"/>
      <c r="E572" s="1"/>
    </row>
    <row r="573" ht="12.75" customHeight="1">
      <c r="A573" s="1"/>
      <c r="B573" s="1"/>
      <c r="C573" s="1"/>
      <c r="D573" s="10"/>
      <c r="E573" s="1"/>
    </row>
    <row r="574" ht="12.75" customHeight="1">
      <c r="A574" s="1"/>
      <c r="B574" s="1"/>
      <c r="C574" s="1"/>
      <c r="D574" s="10"/>
      <c r="E574" s="1"/>
    </row>
    <row r="575" ht="12.75" customHeight="1">
      <c r="A575" s="1"/>
      <c r="B575" s="1"/>
      <c r="C575" s="1"/>
      <c r="D575" s="10"/>
      <c r="E575" s="1"/>
    </row>
    <row r="576" ht="12.75" customHeight="1">
      <c r="A576" s="1"/>
      <c r="B576" s="1"/>
      <c r="C576" s="1"/>
      <c r="D576" s="10"/>
      <c r="E576" s="1"/>
    </row>
    <row r="577" ht="12.75" customHeight="1">
      <c r="A577" s="1"/>
      <c r="B577" s="1"/>
      <c r="C577" s="1"/>
      <c r="D577" s="10"/>
      <c r="E577" s="1"/>
    </row>
    <row r="578" ht="12.75" customHeight="1">
      <c r="A578" s="1"/>
      <c r="B578" s="1"/>
      <c r="C578" s="1"/>
      <c r="D578" s="10"/>
      <c r="E578" s="1"/>
    </row>
    <row r="579" ht="12.75" customHeight="1">
      <c r="A579" s="1"/>
      <c r="B579" s="1"/>
      <c r="C579" s="1"/>
      <c r="D579" s="10"/>
      <c r="E579" s="1"/>
    </row>
    <row r="580" ht="12.75" customHeight="1">
      <c r="A580" s="1"/>
      <c r="B580" s="1"/>
      <c r="C580" s="1"/>
      <c r="D580" s="10"/>
      <c r="E580" s="1"/>
    </row>
    <row r="581" ht="12.75" customHeight="1">
      <c r="A581" s="1"/>
      <c r="B581" s="1"/>
      <c r="C581" s="1"/>
      <c r="D581" s="10"/>
      <c r="E581" s="1"/>
    </row>
    <row r="582" ht="12.75" customHeight="1">
      <c r="A582" s="1"/>
      <c r="B582" s="1"/>
      <c r="C582" s="1"/>
      <c r="D582" s="10"/>
      <c r="E582" s="1"/>
    </row>
    <row r="583" ht="12.75" customHeight="1">
      <c r="A583" s="1"/>
      <c r="B583" s="1"/>
      <c r="C583" s="1"/>
      <c r="D583" s="10"/>
      <c r="E583" s="1"/>
    </row>
    <row r="584" ht="12.75" customHeight="1">
      <c r="A584" s="1"/>
      <c r="B584" s="1"/>
      <c r="C584" s="1"/>
      <c r="D584" s="10"/>
      <c r="E584" s="1"/>
    </row>
    <row r="585" ht="12.75" customHeight="1">
      <c r="A585" s="1"/>
      <c r="B585" s="1"/>
      <c r="C585" s="1"/>
      <c r="D585" s="10"/>
      <c r="E585" s="1"/>
    </row>
    <row r="586" ht="12.75" customHeight="1">
      <c r="A586" s="1"/>
      <c r="B586" s="1"/>
      <c r="C586" s="1"/>
      <c r="D586" s="10"/>
      <c r="E586" s="1"/>
    </row>
    <row r="587" ht="12.75" customHeight="1">
      <c r="A587" s="1"/>
      <c r="B587" s="1"/>
      <c r="C587" s="1"/>
      <c r="D587" s="10"/>
      <c r="E587" s="1"/>
    </row>
    <row r="588" ht="12.75" customHeight="1">
      <c r="A588" s="1"/>
      <c r="B588" s="1"/>
      <c r="C588" s="1"/>
      <c r="D588" s="10"/>
      <c r="E588" s="1"/>
    </row>
    <row r="589" ht="12.75" customHeight="1">
      <c r="A589" s="1"/>
      <c r="B589" s="1"/>
      <c r="C589" s="1"/>
      <c r="D589" s="10"/>
      <c r="E589" s="1"/>
    </row>
    <row r="590" ht="12.75" customHeight="1">
      <c r="A590" s="1"/>
      <c r="B590" s="1"/>
      <c r="C590" s="1"/>
      <c r="D590" s="10"/>
      <c r="E590" s="1"/>
    </row>
    <row r="591" ht="12.75" customHeight="1">
      <c r="A591" s="1"/>
      <c r="B591" s="1"/>
      <c r="C591" s="1"/>
      <c r="D591" s="10"/>
      <c r="E591" s="1"/>
    </row>
    <row r="592" ht="12.75" customHeight="1">
      <c r="A592" s="1"/>
      <c r="B592" s="1"/>
      <c r="C592" s="1"/>
      <c r="D592" s="10"/>
      <c r="E592" s="1"/>
    </row>
    <row r="593" ht="12.75" customHeight="1">
      <c r="A593" s="1"/>
      <c r="B593" s="1"/>
      <c r="C593" s="1"/>
      <c r="D593" s="10"/>
      <c r="E593" s="1"/>
    </row>
    <row r="594" ht="12.75" customHeight="1">
      <c r="A594" s="1"/>
      <c r="B594" s="1"/>
      <c r="C594" s="1"/>
      <c r="D594" s="10"/>
      <c r="E594" s="1"/>
    </row>
    <row r="595" ht="12.75" customHeight="1">
      <c r="A595" s="1"/>
      <c r="B595" s="1"/>
      <c r="C595" s="1"/>
      <c r="D595" s="10"/>
      <c r="E595" s="1"/>
    </row>
    <row r="596" ht="12.75" customHeight="1">
      <c r="A596" s="1"/>
      <c r="B596" s="1"/>
      <c r="C596" s="1"/>
      <c r="D596" s="10"/>
      <c r="E596" s="1"/>
    </row>
    <row r="597" ht="12.75" customHeight="1">
      <c r="A597" s="1"/>
      <c r="B597" s="1"/>
      <c r="C597" s="1"/>
      <c r="D597" s="10"/>
      <c r="E597" s="1"/>
    </row>
    <row r="598" ht="12.75" customHeight="1">
      <c r="A598" s="1"/>
      <c r="B598" s="1"/>
      <c r="C598" s="1"/>
      <c r="D598" s="10"/>
      <c r="E598" s="1"/>
    </row>
    <row r="599" ht="12.75" customHeight="1">
      <c r="A599" s="1"/>
      <c r="B599" s="1"/>
      <c r="C599" s="1"/>
      <c r="D599" s="10"/>
      <c r="E599" s="1"/>
    </row>
    <row r="600" ht="12.75" customHeight="1">
      <c r="A600" s="1"/>
      <c r="B600" s="1"/>
      <c r="C600" s="1"/>
      <c r="D600" s="10"/>
      <c r="E600" s="1"/>
    </row>
    <row r="601" ht="12.75" customHeight="1">
      <c r="A601" s="1"/>
      <c r="B601" s="1"/>
      <c r="C601" s="1"/>
      <c r="D601" s="10"/>
      <c r="E601" s="1"/>
    </row>
    <row r="602" ht="12.75" customHeight="1">
      <c r="A602" s="1"/>
      <c r="B602" s="1"/>
      <c r="C602" s="1"/>
      <c r="D602" s="10"/>
      <c r="E602" s="1"/>
    </row>
    <row r="603" ht="12.75" customHeight="1">
      <c r="A603" s="1"/>
      <c r="B603" s="1"/>
      <c r="C603" s="1"/>
      <c r="D603" s="10"/>
      <c r="E603" s="1"/>
    </row>
    <row r="604" ht="12.75" customHeight="1">
      <c r="A604" s="1"/>
      <c r="B604" s="1"/>
      <c r="C604" s="1"/>
      <c r="D604" s="10"/>
      <c r="E604" s="1"/>
    </row>
    <row r="605" ht="12.75" customHeight="1">
      <c r="A605" s="1"/>
      <c r="B605" s="1"/>
      <c r="C605" s="1"/>
      <c r="D605" s="10"/>
      <c r="E605" s="1"/>
    </row>
    <row r="606" ht="12.75" customHeight="1">
      <c r="A606" s="1"/>
      <c r="B606" s="1"/>
      <c r="C606" s="1"/>
      <c r="D606" s="10"/>
      <c r="E606" s="1"/>
    </row>
    <row r="607" ht="12.75" customHeight="1">
      <c r="A607" s="1"/>
      <c r="B607" s="1"/>
      <c r="C607" s="1"/>
      <c r="D607" s="10"/>
      <c r="E607" s="1"/>
    </row>
    <row r="608" ht="12.75" customHeight="1">
      <c r="A608" s="1"/>
      <c r="B608" s="1"/>
      <c r="C608" s="1"/>
      <c r="D608" s="10"/>
      <c r="E608" s="1"/>
    </row>
    <row r="609" ht="12.75" customHeight="1">
      <c r="A609" s="1"/>
      <c r="B609" s="1"/>
      <c r="C609" s="1"/>
      <c r="D609" s="10"/>
      <c r="E609" s="1"/>
    </row>
    <row r="610" ht="12.75" customHeight="1">
      <c r="A610" s="1"/>
      <c r="B610" s="1"/>
      <c r="C610" s="1"/>
      <c r="D610" s="10"/>
      <c r="E610" s="1"/>
    </row>
    <row r="611" ht="12.75" customHeight="1">
      <c r="A611" s="1"/>
      <c r="B611" s="1"/>
      <c r="C611" s="1"/>
      <c r="D611" s="10"/>
      <c r="E611" s="1"/>
    </row>
    <row r="612" ht="12.75" customHeight="1">
      <c r="A612" s="1"/>
      <c r="B612" s="1"/>
      <c r="C612" s="1"/>
      <c r="D612" s="10"/>
      <c r="E612" s="1"/>
    </row>
    <row r="613" ht="12.75" customHeight="1">
      <c r="A613" s="1"/>
      <c r="B613" s="1"/>
      <c r="C613" s="1"/>
      <c r="D613" s="10"/>
      <c r="E613" s="1"/>
    </row>
    <row r="614" ht="12.75" customHeight="1">
      <c r="A614" s="1"/>
      <c r="B614" s="1"/>
      <c r="C614" s="1"/>
      <c r="D614" s="10"/>
      <c r="E614" s="1"/>
    </row>
    <row r="615" ht="12.75" customHeight="1">
      <c r="A615" s="1"/>
      <c r="B615" s="1"/>
      <c r="C615" s="1"/>
      <c r="D615" s="10"/>
      <c r="E615" s="1"/>
    </row>
    <row r="616" ht="12.75" customHeight="1">
      <c r="A616" s="1"/>
      <c r="B616" s="1"/>
      <c r="C616" s="1"/>
      <c r="D616" s="10"/>
      <c r="E616" s="1"/>
    </row>
    <row r="617" ht="12.75" customHeight="1">
      <c r="A617" s="1"/>
      <c r="B617" s="1"/>
      <c r="C617" s="1"/>
      <c r="D617" s="10"/>
      <c r="E617" s="1"/>
    </row>
    <row r="618" ht="12.75" customHeight="1">
      <c r="A618" s="1"/>
      <c r="B618" s="1"/>
      <c r="C618" s="1"/>
      <c r="D618" s="10"/>
      <c r="E618" s="1"/>
    </row>
    <row r="619" ht="12.75" customHeight="1">
      <c r="A619" s="1"/>
      <c r="B619" s="1"/>
      <c r="C619" s="1"/>
      <c r="D619" s="10"/>
      <c r="E619" s="1"/>
    </row>
    <row r="620" ht="12.75" customHeight="1">
      <c r="A620" s="1"/>
      <c r="B620" s="1"/>
      <c r="C620" s="1"/>
      <c r="D620" s="10"/>
      <c r="E620" s="1"/>
    </row>
    <row r="621" ht="12.75" customHeight="1">
      <c r="A621" s="1"/>
      <c r="B621" s="1"/>
      <c r="C621" s="1"/>
      <c r="D621" s="10"/>
      <c r="E621" s="1"/>
    </row>
    <row r="622" ht="12.75" customHeight="1">
      <c r="A622" s="1"/>
      <c r="B622" s="1"/>
      <c r="C622" s="1"/>
      <c r="D622" s="10"/>
      <c r="E622" s="1"/>
    </row>
    <row r="623" ht="12.75" customHeight="1">
      <c r="A623" s="1"/>
      <c r="B623" s="1"/>
      <c r="C623" s="1"/>
      <c r="D623" s="10"/>
      <c r="E623" s="1"/>
    </row>
    <row r="624" ht="12.75" customHeight="1">
      <c r="A624" s="1"/>
      <c r="B624" s="1"/>
      <c r="C624" s="1"/>
      <c r="D624" s="10"/>
      <c r="E624" s="1"/>
    </row>
    <row r="625" ht="12.75" customHeight="1">
      <c r="A625" s="1"/>
      <c r="B625" s="1"/>
      <c r="C625" s="1"/>
      <c r="D625" s="10"/>
      <c r="E625" s="1"/>
    </row>
    <row r="626" ht="12.75" customHeight="1">
      <c r="A626" s="1"/>
      <c r="B626" s="1"/>
      <c r="C626" s="1"/>
      <c r="D626" s="10"/>
      <c r="E626" s="1"/>
    </row>
    <row r="627" ht="12.75" customHeight="1">
      <c r="A627" s="1"/>
      <c r="B627" s="1"/>
      <c r="C627" s="1"/>
      <c r="D627" s="10"/>
      <c r="E627" s="1"/>
    </row>
    <row r="628" ht="12.75" customHeight="1">
      <c r="A628" s="1"/>
      <c r="B628" s="1"/>
      <c r="C628" s="1"/>
      <c r="D628" s="10"/>
      <c r="E628" s="1"/>
    </row>
    <row r="629" ht="12.75" customHeight="1">
      <c r="A629" s="1"/>
      <c r="B629" s="1"/>
      <c r="C629" s="1"/>
      <c r="D629" s="10"/>
      <c r="E629" s="1"/>
    </row>
    <row r="630" ht="12.75" customHeight="1">
      <c r="A630" s="1"/>
      <c r="B630" s="1"/>
      <c r="C630" s="1"/>
      <c r="D630" s="10"/>
      <c r="E630" s="1"/>
    </row>
    <row r="631" ht="12.75" customHeight="1">
      <c r="A631" s="1"/>
      <c r="B631" s="1"/>
      <c r="C631" s="1"/>
      <c r="D631" s="10"/>
      <c r="E631" s="1"/>
    </row>
    <row r="632" ht="12.75" customHeight="1">
      <c r="A632" s="1"/>
      <c r="B632" s="1"/>
      <c r="C632" s="1"/>
      <c r="D632" s="10"/>
      <c r="E632" s="1"/>
    </row>
    <row r="633" ht="12.75" customHeight="1">
      <c r="A633" s="1"/>
      <c r="B633" s="1"/>
      <c r="C633" s="1"/>
      <c r="D633" s="10"/>
      <c r="E633" s="1"/>
    </row>
    <row r="634" ht="12.75" customHeight="1">
      <c r="A634" s="1"/>
      <c r="B634" s="1"/>
      <c r="C634" s="1"/>
      <c r="D634" s="10"/>
      <c r="E634" s="1"/>
    </row>
    <row r="635" ht="12.75" customHeight="1">
      <c r="A635" s="1"/>
      <c r="B635" s="1"/>
      <c r="C635" s="1"/>
      <c r="D635" s="10"/>
      <c r="E635" s="1"/>
    </row>
    <row r="636" ht="12.75" customHeight="1">
      <c r="A636" s="1"/>
      <c r="B636" s="1"/>
      <c r="C636" s="1"/>
      <c r="D636" s="10"/>
      <c r="E636" s="1"/>
    </row>
    <row r="637" ht="12.75" customHeight="1">
      <c r="A637" s="1"/>
      <c r="B637" s="1"/>
      <c r="C637" s="1"/>
      <c r="D637" s="10"/>
      <c r="E637" s="1"/>
    </row>
    <row r="638" ht="12.75" customHeight="1">
      <c r="A638" s="1"/>
      <c r="B638" s="1"/>
      <c r="C638" s="1"/>
      <c r="D638" s="10"/>
      <c r="E638" s="1"/>
    </row>
    <row r="639" ht="12.75" customHeight="1">
      <c r="A639" s="1"/>
      <c r="B639" s="1"/>
      <c r="C639" s="1"/>
      <c r="D639" s="10"/>
      <c r="E639" s="1"/>
    </row>
    <row r="640" ht="12.75" customHeight="1">
      <c r="A640" s="1"/>
      <c r="B640" s="1"/>
      <c r="C640" s="1"/>
      <c r="D640" s="10"/>
      <c r="E640" s="1"/>
    </row>
    <row r="641" ht="12.75" customHeight="1">
      <c r="A641" s="1"/>
      <c r="B641" s="1"/>
      <c r="C641" s="1"/>
      <c r="D641" s="10"/>
      <c r="E641" s="1"/>
    </row>
    <row r="642" ht="12.75" customHeight="1">
      <c r="A642" s="1"/>
      <c r="B642" s="1"/>
      <c r="C642" s="1"/>
      <c r="D642" s="10"/>
      <c r="E642" s="1"/>
    </row>
    <row r="643" ht="12.75" customHeight="1">
      <c r="A643" s="1"/>
      <c r="B643" s="1"/>
      <c r="C643" s="1"/>
      <c r="D643" s="10"/>
      <c r="E643" s="1"/>
    </row>
    <row r="644" ht="12.75" customHeight="1">
      <c r="A644" s="1"/>
      <c r="B644" s="1"/>
      <c r="C644" s="1"/>
      <c r="D644" s="10"/>
      <c r="E644" s="1"/>
    </row>
    <row r="645" ht="12.75" customHeight="1">
      <c r="A645" s="1"/>
      <c r="B645" s="1"/>
      <c r="C645" s="1"/>
      <c r="D645" s="10"/>
      <c r="E645" s="1"/>
    </row>
    <row r="646" ht="12.75" customHeight="1">
      <c r="A646" s="1"/>
      <c r="B646" s="1"/>
      <c r="C646" s="1"/>
      <c r="D646" s="10"/>
      <c r="E646" s="1"/>
    </row>
    <row r="647" ht="12.75" customHeight="1">
      <c r="A647" s="1"/>
      <c r="B647" s="1"/>
      <c r="C647" s="1"/>
      <c r="D647" s="10"/>
      <c r="E647" s="1"/>
    </row>
    <row r="648" ht="12.75" customHeight="1">
      <c r="A648" s="1"/>
      <c r="B648" s="1"/>
      <c r="C648" s="1"/>
      <c r="D648" s="10"/>
      <c r="E648" s="1"/>
    </row>
    <row r="649" ht="12.75" customHeight="1">
      <c r="A649" s="1"/>
      <c r="B649" s="1"/>
      <c r="C649" s="1"/>
      <c r="D649" s="10"/>
      <c r="E649" s="1"/>
    </row>
    <row r="650" ht="12.75" customHeight="1">
      <c r="A650" s="1"/>
      <c r="B650" s="1"/>
      <c r="C650" s="1"/>
      <c r="D650" s="10"/>
      <c r="E650" s="1"/>
    </row>
    <row r="651" ht="12.75" customHeight="1">
      <c r="A651" s="1"/>
      <c r="B651" s="1"/>
      <c r="C651" s="1"/>
      <c r="D651" s="10"/>
      <c r="E651" s="1"/>
    </row>
    <row r="652" ht="12.75" customHeight="1">
      <c r="A652" s="1"/>
      <c r="B652" s="1"/>
      <c r="C652" s="1"/>
      <c r="D652" s="10"/>
      <c r="E652" s="1"/>
    </row>
    <row r="653" ht="12.75" customHeight="1">
      <c r="A653" s="1"/>
      <c r="B653" s="1"/>
      <c r="C653" s="1"/>
      <c r="D653" s="10"/>
      <c r="E653" s="1"/>
    </row>
    <row r="654" ht="12.75" customHeight="1">
      <c r="A654" s="1"/>
      <c r="B654" s="1"/>
      <c r="C654" s="1"/>
      <c r="D654" s="10"/>
      <c r="E654" s="1"/>
    </row>
    <row r="655" ht="12.75" customHeight="1">
      <c r="A655" s="1"/>
      <c r="B655" s="1"/>
      <c r="C655" s="1"/>
      <c r="D655" s="10"/>
      <c r="E655" s="1"/>
    </row>
    <row r="656" ht="12.75" customHeight="1">
      <c r="A656" s="1"/>
      <c r="B656" s="1"/>
      <c r="C656" s="1"/>
      <c r="D656" s="10"/>
      <c r="E656" s="1"/>
    </row>
    <row r="657" ht="12.75" customHeight="1">
      <c r="A657" s="1"/>
      <c r="B657" s="1"/>
      <c r="C657" s="1"/>
      <c r="D657" s="10"/>
      <c r="E657" s="1"/>
    </row>
    <row r="658" ht="12.75" customHeight="1">
      <c r="A658" s="1"/>
      <c r="B658" s="1"/>
      <c r="C658" s="1"/>
      <c r="D658" s="10"/>
      <c r="E658" s="1"/>
    </row>
    <row r="659" ht="12.75" customHeight="1">
      <c r="A659" s="1"/>
      <c r="B659" s="1"/>
      <c r="C659" s="1"/>
      <c r="D659" s="10"/>
      <c r="E659" s="1"/>
    </row>
    <row r="660" ht="12.75" customHeight="1">
      <c r="A660" s="1"/>
      <c r="B660" s="1"/>
      <c r="C660" s="1"/>
      <c r="D660" s="10"/>
      <c r="E660" s="1"/>
    </row>
    <row r="661" ht="12.75" customHeight="1">
      <c r="A661" s="1"/>
      <c r="B661" s="1"/>
      <c r="C661" s="1"/>
      <c r="D661" s="10"/>
      <c r="E661" s="1"/>
    </row>
    <row r="662" ht="12.75" customHeight="1">
      <c r="A662" s="1"/>
      <c r="B662" s="1"/>
      <c r="C662" s="1"/>
      <c r="D662" s="10"/>
      <c r="E662" s="1"/>
    </row>
    <row r="663" ht="12.75" customHeight="1">
      <c r="A663" s="1"/>
      <c r="B663" s="1"/>
      <c r="C663" s="1"/>
      <c r="D663" s="10"/>
      <c r="E663" s="1"/>
    </row>
    <row r="664" ht="12.75" customHeight="1">
      <c r="A664" s="1"/>
      <c r="B664" s="1"/>
      <c r="C664" s="1"/>
      <c r="D664" s="10"/>
      <c r="E664" s="1"/>
    </row>
    <row r="665" ht="12.75" customHeight="1">
      <c r="A665" s="1"/>
      <c r="B665" s="1"/>
      <c r="C665" s="1"/>
      <c r="D665" s="10"/>
      <c r="E665" s="1"/>
    </row>
    <row r="666" ht="12.75" customHeight="1">
      <c r="A666" s="1"/>
      <c r="B666" s="1"/>
      <c r="C666" s="1"/>
      <c r="D666" s="10"/>
      <c r="E666" s="1"/>
    </row>
    <row r="667" ht="12.75" customHeight="1">
      <c r="A667" s="1"/>
      <c r="B667" s="1"/>
      <c r="C667" s="1"/>
      <c r="D667" s="10"/>
      <c r="E667" s="1"/>
    </row>
    <row r="668" ht="12.75" customHeight="1">
      <c r="A668" s="1"/>
      <c r="B668" s="1"/>
      <c r="C668" s="1"/>
      <c r="D668" s="10"/>
      <c r="E668" s="1"/>
    </row>
    <row r="669" ht="12.75" customHeight="1">
      <c r="A669" s="1"/>
      <c r="B669" s="1"/>
      <c r="C669" s="1"/>
      <c r="D669" s="10"/>
      <c r="E669" s="1"/>
    </row>
    <row r="670" ht="12.75" customHeight="1">
      <c r="A670" s="1"/>
      <c r="B670" s="1"/>
      <c r="C670" s="1"/>
      <c r="D670" s="10"/>
      <c r="E670" s="1"/>
    </row>
    <row r="671" ht="12.75" customHeight="1">
      <c r="A671" s="1"/>
      <c r="B671" s="1"/>
      <c r="C671" s="1"/>
      <c r="D671" s="10"/>
      <c r="E671" s="1"/>
    </row>
    <row r="672" ht="12.75" customHeight="1">
      <c r="A672" s="1"/>
      <c r="B672" s="1"/>
      <c r="C672" s="1"/>
      <c r="D672" s="10"/>
      <c r="E672" s="1"/>
    </row>
    <row r="673" ht="12.75" customHeight="1">
      <c r="A673" s="1"/>
      <c r="B673" s="1"/>
      <c r="C673" s="1"/>
      <c r="D673" s="10"/>
      <c r="E673" s="1"/>
    </row>
    <row r="674" ht="12.75" customHeight="1">
      <c r="A674" s="1"/>
      <c r="B674" s="1"/>
      <c r="C674" s="1"/>
      <c r="D674" s="10"/>
      <c r="E674" s="1"/>
    </row>
    <row r="675" ht="12.75" customHeight="1">
      <c r="A675" s="1"/>
      <c r="B675" s="1"/>
      <c r="C675" s="1"/>
      <c r="D675" s="10"/>
      <c r="E675" s="1"/>
    </row>
    <row r="676" ht="12.75" customHeight="1">
      <c r="A676" s="1"/>
      <c r="B676" s="1"/>
      <c r="C676" s="1"/>
      <c r="D676" s="10"/>
      <c r="E676" s="1"/>
    </row>
    <row r="677" ht="12.75" customHeight="1">
      <c r="A677" s="1"/>
      <c r="B677" s="1"/>
      <c r="C677" s="1"/>
      <c r="D677" s="10"/>
      <c r="E677" s="1"/>
    </row>
    <row r="678" ht="12.75" customHeight="1">
      <c r="A678" s="1"/>
      <c r="B678" s="1"/>
      <c r="C678" s="1"/>
      <c r="D678" s="10"/>
      <c r="E678" s="1"/>
    </row>
    <row r="679" ht="12.75" customHeight="1">
      <c r="A679" s="1"/>
      <c r="B679" s="1"/>
      <c r="C679" s="1"/>
      <c r="D679" s="10"/>
      <c r="E679" s="1"/>
    </row>
    <row r="680" ht="12.75" customHeight="1">
      <c r="A680" s="1"/>
      <c r="B680" s="1"/>
      <c r="C680" s="1"/>
      <c r="D680" s="10"/>
      <c r="E680" s="1"/>
    </row>
    <row r="681" ht="12.75" customHeight="1">
      <c r="A681" s="1"/>
      <c r="B681" s="1"/>
      <c r="C681" s="1"/>
      <c r="D681" s="10"/>
      <c r="E681" s="1"/>
    </row>
    <row r="682" ht="12.75" customHeight="1">
      <c r="A682" s="1"/>
      <c r="B682" s="1"/>
      <c r="C682" s="1"/>
      <c r="D682" s="10"/>
      <c r="E682" s="1"/>
    </row>
    <row r="683" ht="12.75" customHeight="1">
      <c r="A683" s="1"/>
      <c r="B683" s="1"/>
      <c r="C683" s="1"/>
      <c r="D683" s="10"/>
      <c r="E683" s="1"/>
    </row>
    <row r="684" ht="12.75" customHeight="1">
      <c r="A684" s="1"/>
      <c r="B684" s="1"/>
      <c r="C684" s="1"/>
      <c r="D684" s="10"/>
      <c r="E684" s="1"/>
    </row>
    <row r="685" ht="12.75" customHeight="1">
      <c r="A685" s="1"/>
      <c r="B685" s="1"/>
      <c r="C685" s="1"/>
      <c r="D685" s="10"/>
      <c r="E685" s="1"/>
    </row>
    <row r="686" ht="12.75" customHeight="1">
      <c r="A686" s="1"/>
      <c r="B686" s="1"/>
      <c r="C686" s="1"/>
      <c r="D686" s="10"/>
      <c r="E686" s="1"/>
    </row>
    <row r="687" ht="12.75" customHeight="1">
      <c r="A687" s="1"/>
      <c r="B687" s="1"/>
      <c r="C687" s="1"/>
      <c r="D687" s="10"/>
      <c r="E687" s="1"/>
    </row>
    <row r="688" ht="12.75" customHeight="1">
      <c r="A688" s="1"/>
      <c r="B688" s="1"/>
      <c r="C688" s="1"/>
      <c r="D688" s="10"/>
      <c r="E688" s="1"/>
    </row>
    <row r="689" ht="12.75" customHeight="1">
      <c r="A689" s="1"/>
      <c r="B689" s="1"/>
      <c r="C689" s="1"/>
      <c r="D689" s="10"/>
      <c r="E689" s="1"/>
    </row>
    <row r="690" ht="12.75" customHeight="1">
      <c r="A690" s="1"/>
      <c r="B690" s="1"/>
      <c r="C690" s="1"/>
      <c r="D690" s="10"/>
      <c r="E690" s="1"/>
    </row>
    <row r="691" ht="12.75" customHeight="1">
      <c r="A691" s="1"/>
      <c r="B691" s="1"/>
      <c r="C691" s="1"/>
      <c r="D691" s="10"/>
      <c r="E691" s="1"/>
    </row>
    <row r="692" ht="12.75" customHeight="1">
      <c r="A692" s="1"/>
      <c r="B692" s="1"/>
      <c r="C692" s="1"/>
      <c r="D692" s="10"/>
      <c r="E692" s="1"/>
    </row>
    <row r="693" ht="12.75" customHeight="1">
      <c r="A693" s="1"/>
      <c r="B693" s="1"/>
      <c r="C693" s="1"/>
      <c r="D693" s="10"/>
      <c r="E693" s="1"/>
    </row>
    <row r="694" ht="12.75" customHeight="1">
      <c r="A694" s="1"/>
      <c r="B694" s="1"/>
      <c r="C694" s="1"/>
      <c r="D694" s="10"/>
      <c r="E694" s="1"/>
    </row>
    <row r="695" ht="12.75" customHeight="1">
      <c r="A695" s="1"/>
      <c r="B695" s="1"/>
      <c r="C695" s="1"/>
      <c r="D695" s="10"/>
      <c r="E695" s="1"/>
    </row>
    <row r="696" ht="12.75" customHeight="1">
      <c r="A696" s="1"/>
      <c r="B696" s="1"/>
      <c r="C696" s="1"/>
      <c r="D696" s="10"/>
      <c r="E696" s="1"/>
    </row>
    <row r="697" ht="12.75" customHeight="1">
      <c r="A697" s="1"/>
      <c r="B697" s="1"/>
      <c r="C697" s="1"/>
      <c r="D697" s="10"/>
      <c r="E697" s="1"/>
    </row>
    <row r="698" ht="12.75" customHeight="1">
      <c r="A698" s="1"/>
      <c r="B698" s="1"/>
      <c r="C698" s="1"/>
      <c r="D698" s="10"/>
      <c r="E698" s="1"/>
    </row>
    <row r="699" ht="12.75" customHeight="1">
      <c r="A699" s="1"/>
      <c r="B699" s="1"/>
      <c r="C699" s="1"/>
      <c r="D699" s="10"/>
      <c r="E699" s="1"/>
    </row>
    <row r="700" ht="12.75" customHeight="1">
      <c r="A700" s="1"/>
      <c r="B700" s="1"/>
      <c r="C700" s="1"/>
      <c r="D700" s="10"/>
      <c r="E700" s="1"/>
    </row>
    <row r="701" ht="12.75" customHeight="1">
      <c r="A701" s="1"/>
      <c r="B701" s="1"/>
      <c r="C701" s="1"/>
      <c r="D701" s="10"/>
      <c r="E701" s="1"/>
    </row>
    <row r="702" ht="12.75" customHeight="1">
      <c r="A702" s="1"/>
      <c r="B702" s="1"/>
      <c r="C702" s="1"/>
      <c r="D702" s="10"/>
      <c r="E702" s="1"/>
    </row>
    <row r="703" ht="12.75" customHeight="1">
      <c r="A703" s="1"/>
      <c r="B703" s="1"/>
      <c r="C703" s="1"/>
      <c r="D703" s="10"/>
      <c r="E703" s="1"/>
    </row>
    <row r="704" ht="12.75" customHeight="1">
      <c r="A704" s="1"/>
      <c r="B704" s="1"/>
      <c r="C704" s="1"/>
      <c r="D704" s="10"/>
      <c r="E704" s="1"/>
    </row>
    <row r="705" ht="12.75" customHeight="1">
      <c r="A705" s="1"/>
      <c r="B705" s="1"/>
      <c r="C705" s="1"/>
      <c r="D705" s="10"/>
      <c r="E705" s="1"/>
    </row>
    <row r="706" ht="12.75" customHeight="1">
      <c r="A706" s="1"/>
      <c r="B706" s="1"/>
      <c r="C706" s="1"/>
      <c r="D706" s="10"/>
      <c r="E706" s="1"/>
    </row>
    <row r="707" ht="12.75" customHeight="1">
      <c r="A707" s="1"/>
      <c r="B707" s="1"/>
      <c r="C707" s="1"/>
      <c r="D707" s="10"/>
      <c r="E707" s="1"/>
    </row>
    <row r="708" ht="12.75" customHeight="1">
      <c r="A708" s="1"/>
      <c r="B708" s="1"/>
      <c r="C708" s="1"/>
      <c r="D708" s="10"/>
      <c r="E708" s="1"/>
    </row>
    <row r="709" ht="12.75" customHeight="1">
      <c r="A709" s="1"/>
      <c r="B709" s="1"/>
      <c r="C709" s="1"/>
      <c r="D709" s="10"/>
      <c r="E709" s="1"/>
    </row>
    <row r="710" ht="12.75" customHeight="1">
      <c r="A710" s="1"/>
      <c r="B710" s="1"/>
      <c r="C710" s="1"/>
      <c r="D710" s="10"/>
      <c r="E710" s="1"/>
    </row>
    <row r="711" ht="12.75" customHeight="1">
      <c r="A711" s="1"/>
      <c r="B711" s="1"/>
      <c r="C711" s="1"/>
      <c r="D711" s="10"/>
      <c r="E711" s="1"/>
    </row>
    <row r="712" ht="12.75" customHeight="1">
      <c r="A712" s="1"/>
      <c r="B712" s="1"/>
      <c r="C712" s="1"/>
      <c r="D712" s="10"/>
      <c r="E712" s="1"/>
    </row>
    <row r="713" ht="12.75" customHeight="1">
      <c r="A713" s="1"/>
      <c r="B713" s="1"/>
      <c r="C713" s="1"/>
      <c r="D713" s="10"/>
      <c r="E713" s="1"/>
    </row>
    <row r="714" ht="12.75" customHeight="1">
      <c r="A714" s="1"/>
      <c r="B714" s="1"/>
      <c r="C714" s="1"/>
      <c r="D714" s="10"/>
      <c r="E714" s="1"/>
    </row>
    <row r="715" ht="12.75" customHeight="1">
      <c r="A715" s="1"/>
      <c r="B715" s="1"/>
      <c r="C715" s="1"/>
      <c r="D715" s="10"/>
      <c r="E715" s="1"/>
    </row>
    <row r="716" ht="12.75" customHeight="1">
      <c r="A716" s="1"/>
      <c r="B716" s="1"/>
      <c r="C716" s="1"/>
      <c r="D716" s="10"/>
      <c r="E716" s="1"/>
    </row>
    <row r="717" ht="12.75" customHeight="1">
      <c r="A717" s="1"/>
      <c r="B717" s="1"/>
      <c r="C717" s="1"/>
      <c r="D717" s="10"/>
      <c r="E717" s="1"/>
    </row>
    <row r="718" ht="12.75" customHeight="1">
      <c r="A718" s="1"/>
      <c r="B718" s="1"/>
      <c r="C718" s="1"/>
      <c r="D718" s="10"/>
      <c r="E718" s="1"/>
    </row>
    <row r="719" ht="12.75" customHeight="1">
      <c r="A719" s="1"/>
      <c r="B719" s="1"/>
      <c r="C719" s="1"/>
      <c r="D719" s="10"/>
      <c r="E719" s="1"/>
    </row>
    <row r="720" ht="12.75" customHeight="1">
      <c r="A720" s="1"/>
      <c r="B720" s="1"/>
      <c r="C720" s="1"/>
      <c r="D720" s="10"/>
      <c r="E720" s="1"/>
    </row>
    <row r="721" ht="12.75" customHeight="1">
      <c r="A721" s="1"/>
      <c r="B721" s="1"/>
      <c r="C721" s="1"/>
      <c r="D721" s="10"/>
      <c r="E721" s="1"/>
    </row>
    <row r="722" ht="12.75" customHeight="1">
      <c r="A722" s="1"/>
      <c r="B722" s="1"/>
      <c r="C722" s="1"/>
      <c r="D722" s="10"/>
      <c r="E722" s="1"/>
    </row>
    <row r="723" ht="12.75" customHeight="1">
      <c r="A723" s="1"/>
      <c r="B723" s="1"/>
      <c r="C723" s="1"/>
      <c r="D723" s="10"/>
      <c r="E723" s="1"/>
    </row>
    <row r="724" ht="12.75" customHeight="1">
      <c r="A724" s="1"/>
      <c r="B724" s="1"/>
      <c r="C724" s="1"/>
      <c r="D724" s="10"/>
      <c r="E724" s="1"/>
    </row>
    <row r="725" ht="12.75" customHeight="1">
      <c r="A725" s="1"/>
      <c r="B725" s="1"/>
      <c r="C725" s="1"/>
      <c r="D725" s="10"/>
      <c r="E725" s="1"/>
    </row>
    <row r="726" ht="12.75" customHeight="1">
      <c r="A726" s="1"/>
      <c r="B726" s="1"/>
      <c r="C726" s="1"/>
      <c r="D726" s="10"/>
      <c r="E726" s="1"/>
    </row>
    <row r="727" ht="12.75" customHeight="1">
      <c r="A727" s="1"/>
      <c r="B727" s="1"/>
      <c r="C727" s="1"/>
      <c r="D727" s="10"/>
      <c r="E727" s="1"/>
    </row>
    <row r="728" ht="12.75" customHeight="1">
      <c r="A728" s="1"/>
      <c r="B728" s="1"/>
      <c r="C728" s="1"/>
      <c r="D728" s="10"/>
      <c r="E728" s="1"/>
    </row>
    <row r="729" ht="12.75" customHeight="1">
      <c r="A729" s="1"/>
      <c r="B729" s="1"/>
      <c r="C729" s="1"/>
      <c r="D729" s="10"/>
      <c r="E729" s="1"/>
    </row>
    <row r="730" ht="12.75" customHeight="1">
      <c r="A730" s="1"/>
      <c r="B730" s="1"/>
      <c r="C730" s="1"/>
      <c r="D730" s="10"/>
      <c r="E730" s="1"/>
    </row>
    <row r="731" ht="12.75" customHeight="1">
      <c r="A731" s="1"/>
      <c r="B731" s="1"/>
      <c r="C731" s="1"/>
      <c r="D731" s="10"/>
      <c r="E731" s="1"/>
    </row>
    <row r="732" ht="12.75" customHeight="1">
      <c r="A732" s="1"/>
      <c r="B732" s="1"/>
      <c r="C732" s="1"/>
      <c r="D732" s="10"/>
      <c r="E732" s="1"/>
    </row>
    <row r="733" ht="12.75" customHeight="1">
      <c r="A733" s="1"/>
      <c r="B733" s="1"/>
      <c r="C733" s="1"/>
      <c r="D733" s="10"/>
      <c r="E733" s="1"/>
    </row>
    <row r="734" ht="12.75" customHeight="1">
      <c r="A734" s="1"/>
      <c r="B734" s="1"/>
      <c r="C734" s="1"/>
      <c r="D734" s="10"/>
      <c r="E734" s="1"/>
    </row>
    <row r="735" ht="12.75" customHeight="1">
      <c r="A735" s="1"/>
      <c r="B735" s="1"/>
      <c r="C735" s="1"/>
      <c r="D735" s="10"/>
      <c r="E735" s="1"/>
    </row>
    <row r="736" ht="12.75" customHeight="1">
      <c r="A736" s="1"/>
      <c r="B736" s="1"/>
      <c r="C736" s="1"/>
      <c r="D736" s="10"/>
      <c r="E736" s="1"/>
    </row>
    <row r="737" ht="12.75" customHeight="1">
      <c r="A737" s="1"/>
      <c r="B737" s="1"/>
      <c r="C737" s="1"/>
      <c r="D737" s="10"/>
      <c r="E737" s="1"/>
    </row>
    <row r="738" ht="12.75" customHeight="1">
      <c r="A738" s="1"/>
      <c r="B738" s="1"/>
      <c r="C738" s="1"/>
      <c r="D738" s="10"/>
      <c r="E738" s="1"/>
    </row>
    <row r="739" ht="12.75" customHeight="1">
      <c r="A739" s="1"/>
      <c r="B739" s="1"/>
      <c r="C739" s="1"/>
      <c r="D739" s="10"/>
      <c r="E739" s="1"/>
    </row>
    <row r="740" ht="12.75" customHeight="1">
      <c r="A740" s="1"/>
      <c r="B740" s="1"/>
      <c r="C740" s="1"/>
      <c r="D740" s="10"/>
      <c r="E740" s="1"/>
    </row>
    <row r="741" ht="12.75" customHeight="1">
      <c r="A741" s="1"/>
      <c r="B741" s="1"/>
      <c r="C741" s="1"/>
      <c r="D741" s="10"/>
      <c r="E741" s="1"/>
    </row>
    <row r="742" ht="12.75" customHeight="1">
      <c r="A742" s="1"/>
      <c r="B742" s="1"/>
      <c r="C742" s="1"/>
      <c r="D742" s="10"/>
      <c r="E742" s="1"/>
    </row>
    <row r="743" ht="12.75" customHeight="1">
      <c r="A743" s="1"/>
      <c r="B743" s="1"/>
      <c r="C743" s="1"/>
      <c r="D743" s="10"/>
      <c r="E743" s="1"/>
    </row>
    <row r="744" ht="12.75" customHeight="1">
      <c r="A744" s="1"/>
      <c r="B744" s="1"/>
      <c r="C744" s="1"/>
      <c r="D744" s="10"/>
      <c r="E744" s="1"/>
    </row>
    <row r="745" ht="12.75" customHeight="1">
      <c r="A745" s="1"/>
      <c r="B745" s="1"/>
      <c r="C745" s="1"/>
      <c r="D745" s="10"/>
      <c r="E745" s="1"/>
    </row>
    <row r="746" ht="12.75" customHeight="1">
      <c r="A746" s="1"/>
      <c r="B746" s="1"/>
      <c r="C746" s="1"/>
      <c r="D746" s="10"/>
      <c r="E746" s="1"/>
    </row>
    <row r="747" ht="12.75" customHeight="1">
      <c r="A747" s="1"/>
      <c r="B747" s="1"/>
      <c r="C747" s="1"/>
      <c r="D747" s="10"/>
      <c r="E747" s="1"/>
    </row>
    <row r="748" ht="12.75" customHeight="1">
      <c r="A748" s="1"/>
      <c r="B748" s="1"/>
      <c r="C748" s="1"/>
      <c r="D748" s="10"/>
      <c r="E748" s="1"/>
    </row>
    <row r="749" ht="12.75" customHeight="1">
      <c r="A749" s="1"/>
      <c r="B749" s="1"/>
      <c r="C749" s="1"/>
      <c r="D749" s="10"/>
      <c r="E749" s="1"/>
    </row>
    <row r="750" ht="12.75" customHeight="1">
      <c r="A750" s="1"/>
      <c r="B750" s="1"/>
      <c r="C750" s="1"/>
      <c r="D750" s="10"/>
      <c r="E750" s="1"/>
    </row>
    <row r="751" ht="12.75" customHeight="1">
      <c r="A751" s="1"/>
      <c r="B751" s="1"/>
      <c r="C751" s="1"/>
      <c r="D751" s="10"/>
      <c r="E751" s="1"/>
    </row>
    <row r="752" ht="12.75" customHeight="1">
      <c r="A752" s="1"/>
      <c r="B752" s="1"/>
      <c r="C752" s="1"/>
      <c r="D752" s="10"/>
      <c r="E752" s="1"/>
    </row>
    <row r="753" ht="12.75" customHeight="1">
      <c r="A753" s="1"/>
      <c r="B753" s="1"/>
      <c r="C753" s="1"/>
      <c r="D753" s="10"/>
      <c r="E753" s="1"/>
    </row>
    <row r="754" ht="12.75" customHeight="1">
      <c r="A754" s="1"/>
      <c r="B754" s="1"/>
      <c r="C754" s="1"/>
      <c r="D754" s="10"/>
      <c r="E754" s="1"/>
    </row>
    <row r="755" ht="12.75" customHeight="1">
      <c r="A755" s="1"/>
      <c r="B755" s="1"/>
      <c r="C755" s="1"/>
      <c r="D755" s="10"/>
      <c r="E755" s="1"/>
    </row>
    <row r="756" ht="12.75" customHeight="1">
      <c r="A756" s="1"/>
      <c r="B756" s="1"/>
      <c r="C756" s="1"/>
      <c r="D756" s="10"/>
      <c r="E756" s="1"/>
    </row>
    <row r="757" ht="12.75" customHeight="1">
      <c r="A757" s="1"/>
      <c r="B757" s="1"/>
      <c r="C757" s="1"/>
      <c r="D757" s="10"/>
      <c r="E757" s="1"/>
    </row>
    <row r="758" ht="12.75" customHeight="1">
      <c r="A758" s="1"/>
      <c r="B758" s="1"/>
      <c r="C758" s="1"/>
      <c r="D758" s="10"/>
      <c r="E758" s="1"/>
    </row>
    <row r="759" ht="12.75" customHeight="1">
      <c r="A759" s="1"/>
      <c r="B759" s="1"/>
      <c r="C759" s="1"/>
      <c r="D759" s="10"/>
      <c r="E759" s="1"/>
    </row>
    <row r="760" ht="12.75" customHeight="1">
      <c r="A760" s="1"/>
      <c r="B760" s="1"/>
      <c r="C760" s="1"/>
      <c r="D760" s="10"/>
      <c r="E760" s="1"/>
    </row>
    <row r="761" ht="12.75" customHeight="1">
      <c r="A761" s="1"/>
      <c r="B761" s="1"/>
      <c r="C761" s="1"/>
      <c r="D761" s="10"/>
      <c r="E761" s="1"/>
    </row>
    <row r="762" ht="12.75" customHeight="1">
      <c r="A762" s="1"/>
      <c r="B762" s="1"/>
      <c r="C762" s="1"/>
      <c r="D762" s="10"/>
      <c r="E762" s="1"/>
    </row>
    <row r="763" ht="12.75" customHeight="1">
      <c r="A763" s="1"/>
      <c r="B763" s="1"/>
      <c r="C763" s="1"/>
      <c r="D763" s="10"/>
      <c r="E763" s="1"/>
    </row>
    <row r="764" ht="12.75" customHeight="1">
      <c r="A764" s="1"/>
      <c r="B764" s="1"/>
      <c r="C764" s="1"/>
      <c r="D764" s="10"/>
      <c r="E764" s="1"/>
    </row>
    <row r="765" ht="12.75" customHeight="1">
      <c r="A765" s="1"/>
      <c r="B765" s="1"/>
      <c r="C765" s="1"/>
      <c r="D765" s="10"/>
      <c r="E765" s="1"/>
    </row>
    <row r="766" ht="12.75" customHeight="1">
      <c r="A766" s="1"/>
      <c r="B766" s="1"/>
      <c r="C766" s="1"/>
      <c r="D766" s="10"/>
      <c r="E766" s="1"/>
    </row>
    <row r="767" ht="12.75" customHeight="1">
      <c r="A767" s="1"/>
      <c r="B767" s="1"/>
      <c r="C767" s="1"/>
      <c r="D767" s="10"/>
      <c r="E767" s="1"/>
    </row>
    <row r="768" ht="12.75" customHeight="1">
      <c r="A768" s="1"/>
      <c r="B768" s="1"/>
      <c r="C768" s="1"/>
      <c r="D768" s="10"/>
      <c r="E768" s="1"/>
    </row>
    <row r="769" ht="12.75" customHeight="1">
      <c r="A769" s="1"/>
      <c r="B769" s="1"/>
      <c r="C769" s="1"/>
      <c r="D769" s="10"/>
      <c r="E769" s="1"/>
    </row>
    <row r="770" ht="12.75" customHeight="1">
      <c r="A770" s="1"/>
      <c r="B770" s="1"/>
      <c r="C770" s="1"/>
      <c r="D770" s="10"/>
      <c r="E770" s="1"/>
    </row>
    <row r="771" ht="12.75" customHeight="1">
      <c r="A771" s="1"/>
      <c r="B771" s="1"/>
      <c r="C771" s="1"/>
      <c r="D771" s="10"/>
      <c r="E771" s="1"/>
    </row>
    <row r="772" ht="12.75" customHeight="1">
      <c r="A772" s="1"/>
      <c r="B772" s="1"/>
      <c r="C772" s="1"/>
      <c r="D772" s="10"/>
      <c r="E772" s="1"/>
    </row>
    <row r="773" ht="12.75" customHeight="1">
      <c r="A773" s="1"/>
      <c r="B773" s="1"/>
      <c r="C773" s="1"/>
      <c r="D773" s="10"/>
      <c r="E773" s="1"/>
    </row>
    <row r="774" ht="12.75" customHeight="1">
      <c r="A774" s="1"/>
      <c r="B774" s="1"/>
      <c r="C774" s="1"/>
      <c r="D774" s="10"/>
      <c r="E774" s="1"/>
    </row>
    <row r="775" ht="12.75" customHeight="1">
      <c r="A775" s="1"/>
      <c r="B775" s="1"/>
      <c r="C775" s="1"/>
      <c r="D775" s="10"/>
      <c r="E775" s="1"/>
    </row>
    <row r="776" ht="12.75" customHeight="1">
      <c r="A776" s="1"/>
      <c r="B776" s="1"/>
      <c r="C776" s="1"/>
      <c r="D776" s="10"/>
      <c r="E776" s="1"/>
    </row>
    <row r="777" ht="12.75" customHeight="1">
      <c r="A777" s="1"/>
      <c r="B777" s="1"/>
      <c r="C777" s="1"/>
      <c r="D777" s="10"/>
      <c r="E777" s="1"/>
    </row>
    <row r="778" ht="12.75" customHeight="1">
      <c r="A778" s="1"/>
      <c r="B778" s="1"/>
      <c r="C778" s="1"/>
      <c r="D778" s="10"/>
      <c r="E778" s="1"/>
    </row>
    <row r="779" ht="12.75" customHeight="1">
      <c r="A779" s="1"/>
      <c r="B779" s="1"/>
      <c r="C779" s="1"/>
      <c r="D779" s="10"/>
      <c r="E779" s="1"/>
    </row>
    <row r="780" ht="12.75" customHeight="1">
      <c r="A780" s="1"/>
      <c r="B780" s="1"/>
      <c r="C780" s="1"/>
      <c r="D780" s="10"/>
      <c r="E780" s="1"/>
    </row>
    <row r="781" ht="12.75" customHeight="1">
      <c r="A781" s="1"/>
      <c r="B781" s="1"/>
      <c r="C781" s="1"/>
      <c r="D781" s="10"/>
      <c r="E781" s="1"/>
    </row>
    <row r="782" ht="12.75" customHeight="1">
      <c r="A782" s="1"/>
      <c r="B782" s="1"/>
      <c r="C782" s="1"/>
      <c r="D782" s="10"/>
      <c r="E782" s="1"/>
    </row>
    <row r="783" ht="12.75" customHeight="1">
      <c r="A783" s="1"/>
      <c r="B783" s="1"/>
      <c r="C783" s="1"/>
      <c r="D783" s="10"/>
      <c r="E783" s="1"/>
    </row>
    <row r="784" ht="12.75" customHeight="1">
      <c r="A784" s="1"/>
      <c r="B784" s="1"/>
      <c r="C784" s="1"/>
      <c r="D784" s="10"/>
      <c r="E784" s="1"/>
    </row>
    <row r="785" ht="12.75" customHeight="1">
      <c r="A785" s="1"/>
      <c r="B785" s="1"/>
      <c r="C785" s="1"/>
      <c r="D785" s="10"/>
      <c r="E785" s="1"/>
    </row>
    <row r="786" ht="12.75" customHeight="1">
      <c r="A786" s="1"/>
      <c r="B786" s="1"/>
      <c r="C786" s="1"/>
      <c r="D786" s="10"/>
      <c r="E786" s="1"/>
    </row>
    <row r="787" ht="12.75" customHeight="1">
      <c r="A787" s="1"/>
      <c r="B787" s="1"/>
      <c r="C787" s="1"/>
      <c r="D787" s="10"/>
      <c r="E787" s="1"/>
    </row>
    <row r="788" ht="12.75" customHeight="1">
      <c r="A788" s="1"/>
      <c r="B788" s="1"/>
      <c r="C788" s="1"/>
      <c r="D788" s="10"/>
      <c r="E788" s="1"/>
    </row>
    <row r="789" ht="12.75" customHeight="1">
      <c r="A789" s="1"/>
      <c r="B789" s="1"/>
      <c r="C789" s="1"/>
      <c r="D789" s="10"/>
      <c r="E789" s="1"/>
    </row>
    <row r="790" ht="12.75" customHeight="1">
      <c r="A790" s="1"/>
      <c r="B790" s="1"/>
      <c r="C790" s="1"/>
      <c r="D790" s="10"/>
      <c r="E790" s="1"/>
    </row>
    <row r="791" ht="12.75" customHeight="1">
      <c r="A791" s="1"/>
      <c r="B791" s="1"/>
      <c r="C791" s="1"/>
      <c r="D791" s="10"/>
      <c r="E791" s="1"/>
    </row>
    <row r="792" ht="12.75" customHeight="1">
      <c r="A792" s="1"/>
      <c r="B792" s="1"/>
      <c r="C792" s="1"/>
      <c r="D792" s="10"/>
      <c r="E792" s="1"/>
    </row>
    <row r="793" ht="12.75" customHeight="1">
      <c r="A793" s="1"/>
      <c r="B793" s="1"/>
      <c r="C793" s="1"/>
      <c r="D793" s="10"/>
      <c r="E793" s="1"/>
    </row>
    <row r="794" ht="12.75" customHeight="1">
      <c r="A794" s="1"/>
      <c r="B794" s="1"/>
      <c r="C794" s="1"/>
      <c r="D794" s="10"/>
      <c r="E794" s="1"/>
    </row>
    <row r="795" ht="12.75" customHeight="1">
      <c r="A795" s="1"/>
      <c r="B795" s="1"/>
      <c r="C795" s="1"/>
      <c r="D795" s="10"/>
      <c r="E795" s="1"/>
    </row>
    <row r="796" ht="12.75" customHeight="1">
      <c r="A796" s="1"/>
      <c r="B796" s="1"/>
      <c r="C796" s="1"/>
      <c r="D796" s="10"/>
      <c r="E796" s="1"/>
    </row>
    <row r="797" ht="12.75" customHeight="1">
      <c r="A797" s="1"/>
      <c r="B797" s="1"/>
      <c r="C797" s="1"/>
      <c r="D797" s="10"/>
      <c r="E797" s="1"/>
    </row>
    <row r="798" ht="12.75" customHeight="1">
      <c r="A798" s="1"/>
      <c r="B798" s="1"/>
      <c r="C798" s="1"/>
      <c r="D798" s="10"/>
      <c r="E798" s="1"/>
    </row>
    <row r="799" ht="12.75" customHeight="1">
      <c r="A799" s="1"/>
      <c r="B799" s="1"/>
      <c r="C799" s="1"/>
      <c r="D799" s="10"/>
      <c r="E799" s="1"/>
    </row>
    <row r="800" ht="12.75" customHeight="1">
      <c r="A800" s="1"/>
      <c r="B800" s="1"/>
      <c r="C800" s="1"/>
      <c r="D800" s="10"/>
      <c r="E800" s="1"/>
    </row>
    <row r="801" ht="12.75" customHeight="1">
      <c r="A801" s="1"/>
      <c r="B801" s="1"/>
      <c r="C801" s="1"/>
      <c r="D801" s="10"/>
      <c r="E801" s="1"/>
    </row>
    <row r="802" ht="12.75" customHeight="1">
      <c r="A802" s="1"/>
      <c r="B802" s="1"/>
      <c r="C802" s="1"/>
      <c r="D802" s="10"/>
      <c r="E802" s="1"/>
    </row>
    <row r="803" ht="12.75" customHeight="1">
      <c r="A803" s="1"/>
      <c r="B803" s="1"/>
      <c r="C803" s="1"/>
      <c r="D803" s="10"/>
      <c r="E803" s="1"/>
    </row>
    <row r="804" ht="12.75" customHeight="1">
      <c r="A804" s="1"/>
      <c r="B804" s="1"/>
      <c r="C804" s="1"/>
      <c r="D804" s="10"/>
      <c r="E804" s="1"/>
    </row>
    <row r="805" ht="12.75" customHeight="1">
      <c r="A805" s="1"/>
      <c r="B805" s="1"/>
      <c r="C805" s="1"/>
      <c r="D805" s="10"/>
      <c r="E805" s="1"/>
    </row>
    <row r="806" ht="12.75" customHeight="1">
      <c r="A806" s="1"/>
      <c r="B806" s="1"/>
      <c r="C806" s="1"/>
      <c r="D806" s="10"/>
      <c r="E806" s="1"/>
    </row>
    <row r="807" ht="12.75" customHeight="1">
      <c r="A807" s="1"/>
      <c r="B807" s="1"/>
      <c r="C807" s="1"/>
      <c r="D807" s="10"/>
      <c r="E807" s="1"/>
    </row>
    <row r="808" ht="12.75" customHeight="1">
      <c r="A808" s="1"/>
      <c r="B808" s="1"/>
      <c r="C808" s="1"/>
      <c r="D808" s="10"/>
      <c r="E808" s="1"/>
    </row>
    <row r="809" ht="12.75" customHeight="1">
      <c r="A809" s="1"/>
      <c r="B809" s="1"/>
      <c r="C809" s="1"/>
      <c r="D809" s="10"/>
      <c r="E809" s="1"/>
    </row>
    <row r="810" ht="12.75" customHeight="1">
      <c r="A810" s="1"/>
      <c r="B810" s="1"/>
      <c r="C810" s="1"/>
      <c r="D810" s="10"/>
      <c r="E810" s="1"/>
    </row>
    <row r="811" ht="12.75" customHeight="1">
      <c r="A811" s="1"/>
      <c r="B811" s="1"/>
      <c r="C811" s="1"/>
      <c r="D811" s="10"/>
      <c r="E811" s="1"/>
    </row>
    <row r="812" ht="12.75" customHeight="1">
      <c r="A812" s="1"/>
      <c r="B812" s="1"/>
      <c r="C812" s="1"/>
      <c r="D812" s="10"/>
      <c r="E812" s="1"/>
    </row>
    <row r="813" ht="12.75" customHeight="1">
      <c r="A813" s="1"/>
      <c r="B813" s="1"/>
      <c r="C813" s="1"/>
      <c r="D813" s="10"/>
      <c r="E813" s="1"/>
    </row>
    <row r="814" ht="12.75" customHeight="1">
      <c r="A814" s="1"/>
      <c r="B814" s="1"/>
      <c r="C814" s="1"/>
      <c r="D814" s="10"/>
      <c r="E814" s="1"/>
    </row>
    <row r="815" ht="12.75" customHeight="1">
      <c r="A815" s="1"/>
      <c r="B815" s="1"/>
      <c r="C815" s="1"/>
      <c r="D815" s="10"/>
      <c r="E815" s="1"/>
    </row>
    <row r="816" ht="12.75" customHeight="1">
      <c r="A816" s="1"/>
      <c r="B816" s="1"/>
      <c r="C816" s="1"/>
      <c r="D816" s="10"/>
      <c r="E816" s="1"/>
    </row>
    <row r="817" ht="12.75" customHeight="1">
      <c r="A817" s="1"/>
      <c r="B817" s="1"/>
      <c r="C817" s="1"/>
      <c r="D817" s="10"/>
      <c r="E817" s="1"/>
    </row>
    <row r="818" ht="12.75" customHeight="1">
      <c r="A818" s="1"/>
      <c r="B818" s="1"/>
      <c r="C818" s="1"/>
      <c r="D818" s="10"/>
      <c r="E818" s="1"/>
    </row>
    <row r="819" ht="12.75" customHeight="1">
      <c r="A819" s="1"/>
      <c r="B819" s="1"/>
      <c r="C819" s="1"/>
      <c r="D819" s="10"/>
      <c r="E819" s="1"/>
    </row>
    <row r="820" ht="12.75" customHeight="1">
      <c r="A820" s="1"/>
      <c r="B820" s="1"/>
      <c r="C820" s="1"/>
      <c r="D820" s="10"/>
      <c r="E820" s="1"/>
    </row>
    <row r="821" ht="12.75" customHeight="1">
      <c r="A821" s="1"/>
      <c r="B821" s="1"/>
      <c r="C821" s="1"/>
      <c r="D821" s="10"/>
      <c r="E821" s="1"/>
    </row>
    <row r="822" ht="12.75" customHeight="1">
      <c r="A822" s="1"/>
      <c r="B822" s="1"/>
      <c r="C822" s="1"/>
      <c r="D822" s="10"/>
      <c r="E822" s="1"/>
    </row>
    <row r="823" ht="12.75" customHeight="1">
      <c r="A823" s="1"/>
      <c r="B823" s="1"/>
      <c r="C823" s="1"/>
      <c r="D823" s="10"/>
      <c r="E823" s="1"/>
    </row>
    <row r="824" ht="12.75" customHeight="1">
      <c r="A824" s="1"/>
      <c r="B824" s="1"/>
      <c r="C824" s="1"/>
      <c r="D824" s="10"/>
      <c r="E824" s="1"/>
    </row>
    <row r="825" ht="12.75" customHeight="1">
      <c r="A825" s="1"/>
      <c r="B825" s="1"/>
      <c r="C825" s="1"/>
      <c r="D825" s="10"/>
      <c r="E825" s="1"/>
    </row>
    <row r="826" ht="12.75" customHeight="1">
      <c r="A826" s="1"/>
      <c r="B826" s="1"/>
      <c r="C826" s="1"/>
      <c r="D826" s="10"/>
      <c r="E826" s="1"/>
    </row>
    <row r="827" ht="12.75" customHeight="1">
      <c r="A827" s="1"/>
      <c r="B827" s="1"/>
      <c r="C827" s="1"/>
      <c r="D827" s="10"/>
      <c r="E827" s="1"/>
    </row>
    <row r="828" ht="12.75" customHeight="1">
      <c r="A828" s="1"/>
      <c r="B828" s="1"/>
      <c r="C828" s="1"/>
      <c r="D828" s="10"/>
      <c r="E828" s="1"/>
    </row>
    <row r="829" ht="12.75" customHeight="1">
      <c r="A829" s="1"/>
      <c r="B829" s="1"/>
      <c r="C829" s="1"/>
      <c r="D829" s="10"/>
      <c r="E829" s="1"/>
    </row>
    <row r="830" ht="12.75" customHeight="1">
      <c r="A830" s="1"/>
      <c r="B830" s="1"/>
      <c r="C830" s="1"/>
      <c r="D830" s="10"/>
      <c r="E830" s="1"/>
    </row>
    <row r="831" ht="12.75" customHeight="1">
      <c r="A831" s="1"/>
      <c r="B831" s="1"/>
      <c r="C831" s="1"/>
      <c r="D831" s="10"/>
      <c r="E831" s="1"/>
    </row>
    <row r="832" ht="12.75" customHeight="1">
      <c r="A832" s="1"/>
      <c r="B832" s="1"/>
      <c r="C832" s="1"/>
      <c r="D832" s="10"/>
      <c r="E832" s="1"/>
    </row>
    <row r="833" ht="12.75" customHeight="1">
      <c r="A833" s="1"/>
      <c r="B833" s="1"/>
      <c r="C833" s="1"/>
      <c r="D833" s="10"/>
      <c r="E833" s="1"/>
    </row>
    <row r="834" ht="12.75" customHeight="1">
      <c r="A834" s="1"/>
      <c r="B834" s="1"/>
      <c r="C834" s="1"/>
      <c r="D834" s="10"/>
      <c r="E834" s="1"/>
    </row>
    <row r="835" ht="12.75" customHeight="1">
      <c r="A835" s="1"/>
      <c r="B835" s="1"/>
      <c r="C835" s="1"/>
      <c r="D835" s="10"/>
      <c r="E835" s="1"/>
    </row>
    <row r="836" ht="12.75" customHeight="1">
      <c r="A836" s="1"/>
      <c r="B836" s="1"/>
      <c r="C836" s="1"/>
      <c r="D836" s="10"/>
      <c r="E836" s="1"/>
    </row>
    <row r="837" ht="12.75" customHeight="1">
      <c r="A837" s="1"/>
      <c r="B837" s="1"/>
      <c r="C837" s="1"/>
      <c r="D837" s="10"/>
      <c r="E837" s="1"/>
    </row>
    <row r="838" ht="12.75" customHeight="1">
      <c r="A838" s="1"/>
      <c r="B838" s="1"/>
      <c r="C838" s="1"/>
      <c r="D838" s="10"/>
      <c r="E838" s="1"/>
    </row>
    <row r="839" ht="12.75" customHeight="1">
      <c r="A839" s="1"/>
      <c r="B839" s="1"/>
      <c r="C839" s="1"/>
      <c r="D839" s="10"/>
      <c r="E839" s="1"/>
    </row>
    <row r="840" ht="12.75" customHeight="1">
      <c r="A840" s="1"/>
      <c r="B840" s="1"/>
      <c r="C840" s="1"/>
      <c r="D840" s="10"/>
      <c r="E840" s="1"/>
    </row>
    <row r="841" ht="12.75" customHeight="1">
      <c r="A841" s="1"/>
      <c r="B841" s="1"/>
      <c r="C841" s="1"/>
      <c r="D841" s="10"/>
      <c r="E841" s="1"/>
    </row>
    <row r="842" ht="12.75" customHeight="1">
      <c r="A842" s="1"/>
      <c r="B842" s="1"/>
      <c r="C842" s="1"/>
      <c r="D842" s="10"/>
      <c r="E842" s="1"/>
    </row>
    <row r="843" ht="12.75" customHeight="1">
      <c r="A843" s="1"/>
      <c r="B843" s="1"/>
      <c r="C843" s="1"/>
      <c r="D843" s="10"/>
      <c r="E843" s="1"/>
    </row>
    <row r="844" ht="12.75" customHeight="1">
      <c r="A844" s="1"/>
      <c r="B844" s="1"/>
      <c r="C844" s="1"/>
      <c r="D844" s="10"/>
      <c r="E844" s="1"/>
    </row>
    <row r="845" ht="12.75" customHeight="1">
      <c r="A845" s="1"/>
      <c r="B845" s="1"/>
      <c r="C845" s="1"/>
      <c r="D845" s="10"/>
      <c r="E845" s="1"/>
    </row>
    <row r="846" ht="12.75" customHeight="1">
      <c r="A846" s="1"/>
      <c r="B846" s="1"/>
      <c r="C846" s="1"/>
      <c r="D846" s="10"/>
      <c r="E846" s="1"/>
    </row>
    <row r="847" ht="12.75" customHeight="1">
      <c r="A847" s="1"/>
      <c r="B847" s="1"/>
      <c r="C847" s="1"/>
      <c r="D847" s="10"/>
      <c r="E847" s="1"/>
    </row>
    <row r="848" ht="12.75" customHeight="1">
      <c r="A848" s="1"/>
      <c r="B848" s="1"/>
      <c r="C848" s="1"/>
      <c r="D848" s="10"/>
      <c r="E848" s="1"/>
    </row>
    <row r="849" ht="12.75" customHeight="1">
      <c r="A849" s="1"/>
      <c r="B849" s="1"/>
      <c r="C849" s="1"/>
      <c r="D849" s="10"/>
      <c r="E849" s="1"/>
    </row>
    <row r="850" ht="12.75" customHeight="1">
      <c r="A850" s="1"/>
      <c r="B850" s="1"/>
      <c r="C850" s="1"/>
      <c r="D850" s="10"/>
      <c r="E850" s="1"/>
    </row>
    <row r="851" ht="12.75" customHeight="1">
      <c r="A851" s="1"/>
      <c r="B851" s="1"/>
      <c r="C851" s="1"/>
      <c r="D851" s="10"/>
      <c r="E851" s="1"/>
    </row>
    <row r="852" ht="12.75" customHeight="1">
      <c r="A852" s="1"/>
      <c r="B852" s="1"/>
      <c r="C852" s="1"/>
      <c r="D852" s="10"/>
      <c r="E852" s="1"/>
    </row>
    <row r="853" ht="12.75" customHeight="1">
      <c r="A853" s="1"/>
      <c r="B853" s="1"/>
      <c r="C853" s="1"/>
      <c r="D853" s="10"/>
      <c r="E853" s="1"/>
    </row>
    <row r="854" ht="12.75" customHeight="1">
      <c r="A854" s="1"/>
      <c r="B854" s="1"/>
      <c r="C854" s="1"/>
      <c r="D854" s="10"/>
      <c r="E854" s="1"/>
    </row>
    <row r="855" ht="12.75" customHeight="1">
      <c r="A855" s="1"/>
      <c r="B855" s="1"/>
      <c r="C855" s="1"/>
      <c r="D855" s="10"/>
      <c r="E855" s="1"/>
    </row>
    <row r="856" ht="12.75" customHeight="1">
      <c r="A856" s="1"/>
      <c r="B856" s="1"/>
      <c r="C856" s="1"/>
      <c r="D856" s="10"/>
      <c r="E856" s="1"/>
    </row>
    <row r="857" ht="12.75" customHeight="1">
      <c r="A857" s="1"/>
      <c r="B857" s="1"/>
      <c r="C857" s="1"/>
      <c r="D857" s="10"/>
      <c r="E857" s="1"/>
    </row>
    <row r="858" ht="12.75" customHeight="1">
      <c r="A858" s="1"/>
      <c r="B858" s="1"/>
      <c r="C858" s="1"/>
      <c r="D858" s="10"/>
      <c r="E858" s="1"/>
    </row>
    <row r="859" ht="12.75" customHeight="1">
      <c r="A859" s="1"/>
      <c r="B859" s="1"/>
      <c r="C859" s="1"/>
      <c r="D859" s="10"/>
      <c r="E859" s="1"/>
    </row>
    <row r="860" ht="12.75" customHeight="1">
      <c r="A860" s="1"/>
      <c r="B860" s="1"/>
      <c r="C860" s="1"/>
      <c r="D860" s="10"/>
      <c r="E860" s="1"/>
    </row>
    <row r="861" ht="12.75" customHeight="1">
      <c r="A861" s="1"/>
      <c r="B861" s="1"/>
      <c r="C861" s="1"/>
      <c r="D861" s="10"/>
      <c r="E861" s="1"/>
    </row>
    <row r="862" ht="12.75" customHeight="1">
      <c r="A862" s="1"/>
      <c r="B862" s="1"/>
      <c r="C862" s="1"/>
      <c r="D862" s="10"/>
      <c r="E862" s="1"/>
    </row>
    <row r="863" ht="12.75" customHeight="1">
      <c r="A863" s="1"/>
      <c r="B863" s="1"/>
      <c r="C863" s="1"/>
      <c r="D863" s="10"/>
      <c r="E863" s="1"/>
    </row>
    <row r="864" ht="12.75" customHeight="1">
      <c r="A864" s="1"/>
      <c r="B864" s="1"/>
      <c r="C864" s="1"/>
      <c r="D864" s="10"/>
      <c r="E864" s="1"/>
    </row>
    <row r="865" ht="12.75" customHeight="1">
      <c r="A865" s="1"/>
      <c r="B865" s="1"/>
      <c r="C865" s="1"/>
      <c r="D865" s="10"/>
      <c r="E865" s="1"/>
    </row>
    <row r="866" ht="12.75" customHeight="1">
      <c r="A866" s="1"/>
      <c r="B866" s="1"/>
      <c r="C866" s="1"/>
      <c r="D866" s="10"/>
      <c r="E866" s="1"/>
    </row>
    <row r="867" ht="12.75" customHeight="1">
      <c r="A867" s="1"/>
      <c r="B867" s="1"/>
      <c r="C867" s="1"/>
      <c r="D867" s="10"/>
      <c r="E867" s="1"/>
    </row>
    <row r="868" ht="12.75" customHeight="1">
      <c r="A868" s="1"/>
      <c r="B868" s="1"/>
      <c r="C868" s="1"/>
      <c r="D868" s="10"/>
      <c r="E868" s="1"/>
    </row>
    <row r="869" ht="12.75" customHeight="1">
      <c r="A869" s="1"/>
      <c r="B869" s="1"/>
      <c r="C869" s="1"/>
      <c r="D869" s="10"/>
      <c r="E869" s="1"/>
    </row>
    <row r="870" ht="12.75" customHeight="1">
      <c r="A870" s="1"/>
      <c r="B870" s="1"/>
      <c r="C870" s="1"/>
      <c r="D870" s="10"/>
      <c r="E870" s="1"/>
    </row>
    <row r="871" ht="12.75" customHeight="1">
      <c r="A871" s="1"/>
      <c r="B871" s="1"/>
      <c r="C871" s="1"/>
      <c r="D871" s="10"/>
      <c r="E871" s="1"/>
    </row>
    <row r="872" ht="12.75" customHeight="1">
      <c r="A872" s="1"/>
      <c r="B872" s="1"/>
      <c r="C872" s="1"/>
      <c r="D872" s="10"/>
      <c r="E872" s="1"/>
    </row>
    <row r="873" ht="12.75" customHeight="1">
      <c r="A873" s="1"/>
      <c r="B873" s="1"/>
      <c r="C873" s="1"/>
      <c r="D873" s="10"/>
      <c r="E873" s="1"/>
    </row>
    <row r="874" ht="12.75" customHeight="1">
      <c r="A874" s="1"/>
      <c r="B874" s="1"/>
      <c r="C874" s="1"/>
      <c r="D874" s="10"/>
      <c r="E874" s="1"/>
    </row>
    <row r="875" ht="12.75" customHeight="1">
      <c r="A875" s="1"/>
      <c r="B875" s="1"/>
      <c r="C875" s="1"/>
      <c r="D875" s="10"/>
      <c r="E875" s="1"/>
    </row>
    <row r="876" ht="12.75" customHeight="1">
      <c r="A876" s="1"/>
      <c r="B876" s="1"/>
      <c r="C876" s="1"/>
      <c r="D876" s="10"/>
      <c r="E876" s="1"/>
    </row>
    <row r="877" ht="12.75" customHeight="1">
      <c r="A877" s="1"/>
      <c r="B877" s="1"/>
      <c r="C877" s="1"/>
      <c r="D877" s="10"/>
      <c r="E877" s="1"/>
    </row>
    <row r="878" ht="12.75" customHeight="1">
      <c r="A878" s="1"/>
      <c r="B878" s="1"/>
      <c r="C878" s="1"/>
      <c r="D878" s="10"/>
      <c r="E878" s="1"/>
    </row>
    <row r="879" ht="12.75" customHeight="1">
      <c r="A879" s="1"/>
      <c r="B879" s="1"/>
      <c r="C879" s="1"/>
      <c r="D879" s="10"/>
      <c r="E879" s="1"/>
    </row>
    <row r="880" ht="12.75" customHeight="1">
      <c r="A880" s="1"/>
      <c r="B880" s="1"/>
      <c r="C880" s="1"/>
      <c r="D880" s="10"/>
      <c r="E880" s="1"/>
    </row>
    <row r="881" ht="12.75" customHeight="1">
      <c r="A881" s="1"/>
      <c r="B881" s="1"/>
      <c r="C881" s="1"/>
      <c r="D881" s="10"/>
      <c r="E881" s="1"/>
    </row>
    <row r="882" ht="12.75" customHeight="1">
      <c r="A882" s="1"/>
      <c r="B882" s="1"/>
      <c r="C882" s="1"/>
      <c r="D882" s="10"/>
      <c r="E882" s="1"/>
    </row>
    <row r="883" ht="12.75" customHeight="1">
      <c r="A883" s="1"/>
      <c r="B883" s="1"/>
      <c r="C883" s="1"/>
      <c r="D883" s="10"/>
      <c r="E883" s="1"/>
    </row>
    <row r="884" ht="12.75" customHeight="1">
      <c r="A884" s="1"/>
      <c r="B884" s="1"/>
      <c r="C884" s="1"/>
      <c r="D884" s="10"/>
      <c r="E884" s="1"/>
    </row>
    <row r="885" ht="12.75" customHeight="1">
      <c r="A885" s="1"/>
      <c r="B885" s="1"/>
      <c r="C885" s="1"/>
      <c r="D885" s="10"/>
      <c r="E885" s="1"/>
    </row>
    <row r="886" ht="12.75" customHeight="1">
      <c r="A886" s="1"/>
      <c r="B886" s="1"/>
      <c r="C886" s="1"/>
      <c r="D886" s="10"/>
      <c r="E886" s="1"/>
    </row>
    <row r="887" ht="12.75" customHeight="1">
      <c r="A887" s="1"/>
      <c r="B887" s="1"/>
      <c r="C887" s="1"/>
      <c r="D887" s="10"/>
      <c r="E887" s="1"/>
    </row>
    <row r="888" ht="12.75" customHeight="1">
      <c r="A888" s="1"/>
      <c r="B888" s="1"/>
      <c r="C888" s="1"/>
      <c r="D888" s="10"/>
      <c r="E888" s="1"/>
    </row>
    <row r="889" ht="12.75" customHeight="1">
      <c r="A889" s="1"/>
      <c r="B889" s="1"/>
      <c r="C889" s="1"/>
      <c r="D889" s="10"/>
      <c r="E889" s="1"/>
    </row>
    <row r="890" ht="12.75" customHeight="1">
      <c r="A890" s="1"/>
      <c r="B890" s="1"/>
      <c r="C890" s="1"/>
      <c r="D890" s="10"/>
      <c r="E890" s="1"/>
    </row>
    <row r="891" ht="12.75" customHeight="1">
      <c r="A891" s="1"/>
      <c r="B891" s="1"/>
      <c r="C891" s="1"/>
      <c r="D891" s="10"/>
      <c r="E891" s="1"/>
    </row>
    <row r="892" ht="12.75" customHeight="1">
      <c r="A892" s="1"/>
      <c r="B892" s="1"/>
      <c r="C892" s="1"/>
      <c r="D892" s="10"/>
      <c r="E892" s="1"/>
    </row>
    <row r="893" ht="12.75" customHeight="1">
      <c r="A893" s="1"/>
      <c r="B893" s="1"/>
      <c r="C893" s="1"/>
      <c r="D893" s="10"/>
      <c r="E893" s="1"/>
    </row>
    <row r="894" ht="12.75" customHeight="1">
      <c r="A894" s="1"/>
      <c r="B894" s="1"/>
      <c r="C894" s="1"/>
      <c r="D894" s="10"/>
      <c r="E894" s="1"/>
    </row>
    <row r="895" ht="12.75" customHeight="1">
      <c r="A895" s="1"/>
      <c r="B895" s="1"/>
      <c r="C895" s="1"/>
      <c r="D895" s="10"/>
      <c r="E895" s="1"/>
    </row>
    <row r="896" ht="12.75" customHeight="1">
      <c r="A896" s="1"/>
      <c r="B896" s="1"/>
      <c r="C896" s="1"/>
      <c r="D896" s="10"/>
      <c r="E896" s="1"/>
    </row>
    <row r="897" ht="12.75" customHeight="1">
      <c r="A897" s="1"/>
      <c r="B897" s="1"/>
      <c r="C897" s="1"/>
      <c r="D897" s="10"/>
      <c r="E897" s="1"/>
    </row>
    <row r="898" ht="12.75" customHeight="1">
      <c r="A898" s="1"/>
      <c r="B898" s="1"/>
      <c r="C898" s="1"/>
      <c r="D898" s="10"/>
      <c r="E898" s="1"/>
    </row>
    <row r="899" ht="12.75" customHeight="1">
      <c r="A899" s="1"/>
      <c r="B899" s="1"/>
      <c r="C899" s="1"/>
      <c r="D899" s="10"/>
      <c r="E899" s="1"/>
    </row>
    <row r="900" ht="12.75" customHeight="1">
      <c r="A900" s="1"/>
      <c r="B900" s="1"/>
      <c r="C900" s="1"/>
      <c r="D900" s="10"/>
      <c r="E900" s="1"/>
    </row>
    <row r="901" ht="12.75" customHeight="1">
      <c r="A901" s="1"/>
      <c r="B901" s="1"/>
      <c r="C901" s="1"/>
      <c r="D901" s="10"/>
      <c r="E901" s="1"/>
    </row>
    <row r="902" ht="12.75" customHeight="1">
      <c r="A902" s="1"/>
      <c r="B902" s="1"/>
      <c r="C902" s="1"/>
      <c r="D902" s="10"/>
      <c r="E902" s="1"/>
    </row>
    <row r="903" ht="12.75" customHeight="1">
      <c r="A903" s="1"/>
      <c r="B903" s="1"/>
      <c r="C903" s="1"/>
      <c r="D903" s="10"/>
      <c r="E903" s="1"/>
    </row>
    <row r="904" ht="12.75" customHeight="1">
      <c r="A904" s="1"/>
      <c r="B904" s="1"/>
      <c r="C904" s="1"/>
      <c r="D904" s="10"/>
      <c r="E904" s="1"/>
    </row>
    <row r="905" ht="12.75" customHeight="1">
      <c r="A905" s="1"/>
      <c r="B905" s="1"/>
      <c r="C905" s="1"/>
      <c r="D905" s="10"/>
      <c r="E905" s="1"/>
    </row>
    <row r="906" ht="12.75" customHeight="1">
      <c r="A906" s="1"/>
      <c r="B906" s="1"/>
      <c r="C906" s="1"/>
      <c r="D906" s="10"/>
      <c r="E906" s="1"/>
    </row>
    <row r="907" ht="12.75" customHeight="1">
      <c r="A907" s="1"/>
      <c r="B907" s="1"/>
      <c r="C907" s="1"/>
      <c r="D907" s="10"/>
      <c r="E907" s="1"/>
    </row>
    <row r="908" ht="12.75" customHeight="1">
      <c r="A908" s="1"/>
      <c r="B908" s="1"/>
      <c r="C908" s="1"/>
      <c r="D908" s="10"/>
      <c r="E908" s="1"/>
    </row>
    <row r="909" ht="12.75" customHeight="1">
      <c r="A909" s="1"/>
      <c r="B909" s="1"/>
      <c r="C909" s="1"/>
      <c r="D909" s="10"/>
      <c r="E909" s="1"/>
    </row>
    <row r="910" ht="12.75" customHeight="1">
      <c r="A910" s="1"/>
      <c r="B910" s="1"/>
      <c r="C910" s="1"/>
      <c r="D910" s="10"/>
      <c r="E910" s="1"/>
    </row>
    <row r="911" ht="12.75" customHeight="1">
      <c r="A911" s="1"/>
      <c r="B911" s="1"/>
      <c r="C911" s="1"/>
      <c r="D911" s="10"/>
      <c r="E911" s="1"/>
    </row>
    <row r="912" ht="12.75" customHeight="1">
      <c r="A912" s="1"/>
      <c r="B912" s="1"/>
      <c r="C912" s="1"/>
      <c r="D912" s="10"/>
      <c r="E912" s="1"/>
    </row>
    <row r="913" ht="12.75" customHeight="1">
      <c r="A913" s="1"/>
      <c r="B913" s="1"/>
      <c r="C913" s="1"/>
      <c r="D913" s="10"/>
      <c r="E913" s="1"/>
    </row>
    <row r="914" ht="12.75" customHeight="1">
      <c r="A914" s="1"/>
      <c r="B914" s="1"/>
      <c r="C914" s="1"/>
      <c r="D914" s="10"/>
      <c r="E914" s="1"/>
    </row>
    <row r="915" ht="12.75" customHeight="1">
      <c r="A915" s="1"/>
      <c r="B915" s="1"/>
      <c r="C915" s="1"/>
      <c r="D915" s="10"/>
      <c r="E915" s="1"/>
    </row>
    <row r="916" ht="12.75" customHeight="1">
      <c r="A916" s="1"/>
      <c r="B916" s="1"/>
      <c r="C916" s="1"/>
      <c r="D916" s="10"/>
      <c r="E916" s="1"/>
    </row>
    <row r="917" ht="12.75" customHeight="1">
      <c r="A917" s="1"/>
      <c r="B917" s="1"/>
      <c r="C917" s="1"/>
      <c r="D917" s="10"/>
      <c r="E917" s="1"/>
    </row>
    <row r="918" ht="12.75" customHeight="1">
      <c r="A918" s="1"/>
      <c r="B918" s="1"/>
      <c r="C918" s="1"/>
      <c r="D918" s="10"/>
      <c r="E918" s="1"/>
    </row>
    <row r="919" ht="12.75" customHeight="1">
      <c r="A919" s="1"/>
      <c r="B919" s="1"/>
      <c r="C919" s="1"/>
      <c r="D919" s="10"/>
      <c r="E919" s="1"/>
    </row>
    <row r="920" ht="12.75" customHeight="1">
      <c r="A920" s="1"/>
      <c r="B920" s="1"/>
      <c r="C920" s="1"/>
      <c r="D920" s="10"/>
      <c r="E920" s="1"/>
    </row>
    <row r="921" ht="12.75" customHeight="1">
      <c r="A921" s="1"/>
      <c r="B921" s="1"/>
      <c r="C921" s="1"/>
      <c r="D921" s="10"/>
      <c r="E921" s="1"/>
    </row>
    <row r="922" ht="12.75" customHeight="1">
      <c r="A922" s="1"/>
      <c r="B922" s="1"/>
      <c r="C922" s="1"/>
      <c r="D922" s="10"/>
      <c r="E922" s="1"/>
    </row>
    <row r="923" ht="12.75" customHeight="1">
      <c r="A923" s="1"/>
      <c r="B923" s="1"/>
      <c r="C923" s="1"/>
      <c r="D923" s="10"/>
      <c r="E923" s="1"/>
    </row>
    <row r="924" ht="12.75" customHeight="1">
      <c r="A924" s="1"/>
      <c r="B924" s="1"/>
      <c r="C924" s="1"/>
      <c r="D924" s="10"/>
      <c r="E924" s="1"/>
    </row>
    <row r="925" ht="12.75" customHeight="1">
      <c r="A925" s="1"/>
      <c r="B925" s="1"/>
      <c r="C925" s="1"/>
      <c r="D925" s="10"/>
      <c r="E925" s="1"/>
    </row>
    <row r="926" ht="12.75" customHeight="1">
      <c r="A926" s="1"/>
      <c r="B926" s="1"/>
      <c r="C926" s="1"/>
      <c r="D926" s="10"/>
      <c r="E926" s="1"/>
    </row>
    <row r="927" ht="12.75" customHeight="1">
      <c r="A927" s="1"/>
      <c r="B927" s="1"/>
      <c r="C927" s="1"/>
      <c r="D927" s="10"/>
      <c r="E927" s="1"/>
    </row>
    <row r="928" ht="12.75" customHeight="1">
      <c r="A928" s="1"/>
      <c r="B928" s="1"/>
      <c r="C928" s="1"/>
      <c r="D928" s="10"/>
      <c r="E928" s="1"/>
    </row>
    <row r="929" ht="12.75" customHeight="1">
      <c r="A929" s="1"/>
      <c r="B929" s="1"/>
      <c r="C929" s="1"/>
      <c r="D929" s="10"/>
      <c r="E929" s="1"/>
    </row>
    <row r="930" ht="12.75" customHeight="1">
      <c r="A930" s="1"/>
      <c r="B930" s="1"/>
      <c r="C930" s="1"/>
      <c r="D930" s="10"/>
      <c r="E930" s="1"/>
    </row>
    <row r="931" ht="12.75" customHeight="1">
      <c r="A931" s="1"/>
      <c r="B931" s="1"/>
      <c r="C931" s="1"/>
      <c r="D931" s="10"/>
      <c r="E931" s="1"/>
    </row>
    <row r="932" ht="12.75" customHeight="1">
      <c r="A932" s="1"/>
      <c r="B932" s="1"/>
      <c r="C932" s="1"/>
      <c r="D932" s="10"/>
      <c r="E932" s="1"/>
    </row>
    <row r="933" ht="12.75" customHeight="1">
      <c r="A933" s="1"/>
      <c r="B933" s="1"/>
      <c r="C933" s="1"/>
      <c r="D933" s="10"/>
      <c r="E933" s="1"/>
    </row>
    <row r="934" ht="12.75" customHeight="1">
      <c r="A934" s="1"/>
      <c r="B934" s="1"/>
      <c r="C934" s="1"/>
      <c r="D934" s="10"/>
      <c r="E934" s="1"/>
    </row>
    <row r="935" ht="12.75" customHeight="1">
      <c r="A935" s="1"/>
      <c r="B935" s="1"/>
      <c r="C935" s="1"/>
      <c r="D935" s="10"/>
      <c r="E935" s="1"/>
    </row>
    <row r="936" ht="12.75" customHeight="1">
      <c r="A936" s="1"/>
      <c r="B936" s="1"/>
      <c r="C936" s="1"/>
      <c r="D936" s="10"/>
      <c r="E936" s="1"/>
    </row>
    <row r="937" ht="12.75" customHeight="1">
      <c r="A937" s="1"/>
      <c r="B937" s="1"/>
      <c r="C937" s="1"/>
      <c r="D937" s="10"/>
      <c r="E937" s="1"/>
    </row>
    <row r="938" ht="12.75" customHeight="1">
      <c r="A938" s="1"/>
      <c r="B938" s="1"/>
      <c r="C938" s="1"/>
      <c r="D938" s="10"/>
      <c r="E938" s="1"/>
    </row>
    <row r="939" ht="12.75" customHeight="1">
      <c r="A939" s="1"/>
      <c r="B939" s="1"/>
      <c r="C939" s="1"/>
      <c r="D939" s="10"/>
      <c r="E939" s="1"/>
    </row>
    <row r="940" ht="12.75" customHeight="1">
      <c r="A940" s="1"/>
      <c r="B940" s="1"/>
      <c r="C940" s="1"/>
      <c r="D940" s="10"/>
      <c r="E940" s="1"/>
    </row>
    <row r="941" ht="12.75" customHeight="1">
      <c r="A941" s="1"/>
      <c r="B941" s="1"/>
      <c r="C941" s="1"/>
      <c r="D941" s="10"/>
      <c r="E941" s="1"/>
    </row>
    <row r="942" ht="12.75" customHeight="1">
      <c r="A942" s="1"/>
      <c r="B942" s="1"/>
      <c r="C942" s="1"/>
      <c r="D942" s="10"/>
      <c r="E942" s="1"/>
    </row>
    <row r="943" ht="12.75" customHeight="1">
      <c r="A943" s="1"/>
      <c r="B943" s="1"/>
      <c r="C943" s="1"/>
      <c r="D943" s="10"/>
      <c r="E943" s="1"/>
    </row>
    <row r="944" ht="12.75" customHeight="1">
      <c r="A944" s="1"/>
      <c r="B944" s="1"/>
      <c r="C944" s="1"/>
      <c r="D944" s="10"/>
      <c r="E944" s="1"/>
    </row>
    <row r="945" ht="12.75" customHeight="1">
      <c r="A945" s="1"/>
      <c r="B945" s="1"/>
      <c r="C945" s="1"/>
      <c r="D945" s="10"/>
      <c r="E945" s="1"/>
    </row>
    <row r="946" ht="12.75" customHeight="1">
      <c r="A946" s="1"/>
      <c r="B946" s="1"/>
      <c r="C946" s="1"/>
      <c r="D946" s="10"/>
      <c r="E946" s="1"/>
    </row>
    <row r="947" ht="12.75" customHeight="1">
      <c r="A947" s="1"/>
      <c r="B947" s="1"/>
      <c r="C947" s="1"/>
      <c r="D947" s="10"/>
      <c r="E947" s="1"/>
    </row>
    <row r="948" ht="12.75" customHeight="1">
      <c r="A948" s="1"/>
      <c r="B948" s="1"/>
      <c r="C948" s="1"/>
      <c r="D948" s="10"/>
      <c r="E948" s="1"/>
    </row>
    <row r="949" ht="12.75" customHeight="1">
      <c r="A949" s="1"/>
      <c r="B949" s="1"/>
      <c r="C949" s="1"/>
      <c r="D949" s="10"/>
      <c r="E949" s="1"/>
    </row>
    <row r="950" ht="12.75" customHeight="1">
      <c r="A950" s="1"/>
      <c r="B950" s="1"/>
      <c r="C950" s="1"/>
      <c r="D950" s="10"/>
      <c r="E950" s="1"/>
    </row>
    <row r="951" ht="12.75" customHeight="1">
      <c r="A951" s="1"/>
      <c r="B951" s="1"/>
      <c r="C951" s="1"/>
      <c r="D951" s="10"/>
      <c r="E951" s="1"/>
    </row>
    <row r="952" ht="12.75" customHeight="1">
      <c r="A952" s="1"/>
      <c r="B952" s="1"/>
      <c r="C952" s="1"/>
      <c r="D952" s="10"/>
      <c r="E952" s="1"/>
    </row>
    <row r="953" ht="12.75" customHeight="1">
      <c r="A953" s="1"/>
      <c r="B953" s="1"/>
      <c r="C953" s="1"/>
      <c r="D953" s="10"/>
      <c r="E953" s="1"/>
    </row>
    <row r="954" ht="12.75" customHeight="1">
      <c r="A954" s="1"/>
      <c r="B954" s="1"/>
      <c r="C954" s="1"/>
      <c r="D954" s="10"/>
      <c r="E954" s="1"/>
    </row>
    <row r="955" ht="12.75" customHeight="1">
      <c r="A955" s="1"/>
      <c r="B955" s="1"/>
      <c r="C955" s="1"/>
      <c r="D955" s="10"/>
      <c r="E955" s="1"/>
    </row>
    <row r="956" ht="12.75" customHeight="1">
      <c r="A956" s="1"/>
      <c r="B956" s="1"/>
      <c r="C956" s="1"/>
      <c r="D956" s="10"/>
      <c r="E956" s="1"/>
    </row>
    <row r="957" ht="12.75" customHeight="1">
      <c r="A957" s="1"/>
      <c r="B957" s="1"/>
      <c r="C957" s="1"/>
      <c r="D957" s="10"/>
      <c r="E957" s="1"/>
    </row>
    <row r="958" ht="12.75" customHeight="1">
      <c r="A958" s="1"/>
      <c r="B958" s="1"/>
      <c r="C958" s="1"/>
      <c r="D958" s="10"/>
      <c r="E958" s="1"/>
    </row>
    <row r="959" ht="12.75" customHeight="1">
      <c r="A959" s="1"/>
      <c r="B959" s="1"/>
      <c r="C959" s="1"/>
      <c r="D959" s="10"/>
      <c r="E959" s="1"/>
    </row>
    <row r="960" ht="12.75" customHeight="1">
      <c r="A960" s="1"/>
      <c r="B960" s="1"/>
      <c r="C960" s="1"/>
      <c r="D960" s="10"/>
      <c r="E960" s="1"/>
    </row>
    <row r="961" ht="12.75" customHeight="1">
      <c r="A961" s="1"/>
      <c r="B961" s="1"/>
      <c r="C961" s="1"/>
      <c r="D961" s="10"/>
      <c r="E961" s="1"/>
    </row>
    <row r="962" ht="12.75" customHeight="1">
      <c r="A962" s="1"/>
      <c r="B962" s="1"/>
      <c r="C962" s="1"/>
      <c r="D962" s="10"/>
      <c r="E962" s="1"/>
    </row>
    <row r="963" ht="12.75" customHeight="1">
      <c r="A963" s="1"/>
      <c r="B963" s="1"/>
      <c r="C963" s="1"/>
      <c r="D963" s="10"/>
      <c r="E963" s="1"/>
    </row>
    <row r="964" ht="12.75" customHeight="1">
      <c r="A964" s="1"/>
      <c r="B964" s="1"/>
      <c r="C964" s="1"/>
      <c r="D964" s="10"/>
      <c r="E964" s="1"/>
    </row>
    <row r="965" ht="12.75" customHeight="1">
      <c r="A965" s="1"/>
      <c r="B965" s="1"/>
      <c r="C965" s="1"/>
      <c r="D965" s="10"/>
      <c r="E965" s="1"/>
    </row>
    <row r="966" ht="12.75" customHeight="1">
      <c r="A966" s="1"/>
      <c r="B966" s="1"/>
      <c r="C966" s="1"/>
      <c r="D966" s="10"/>
      <c r="E966" s="1"/>
    </row>
    <row r="967" ht="12.75" customHeight="1">
      <c r="A967" s="1"/>
      <c r="B967" s="1"/>
      <c r="C967" s="1"/>
      <c r="D967" s="10"/>
      <c r="E967" s="1"/>
    </row>
    <row r="968" ht="12.75" customHeight="1">
      <c r="A968" s="1"/>
      <c r="B968" s="1"/>
      <c r="C968" s="1"/>
      <c r="D968" s="10"/>
      <c r="E968" s="1"/>
    </row>
    <row r="969" ht="12.75" customHeight="1">
      <c r="A969" s="1"/>
      <c r="B969" s="1"/>
      <c r="C969" s="1"/>
      <c r="D969" s="10"/>
      <c r="E969" s="1"/>
    </row>
    <row r="970" ht="12.75" customHeight="1">
      <c r="A970" s="1"/>
      <c r="B970" s="1"/>
      <c r="C970" s="1"/>
      <c r="D970" s="10"/>
      <c r="E970" s="1"/>
    </row>
    <row r="971" ht="12.75" customHeight="1">
      <c r="A971" s="1"/>
      <c r="B971" s="1"/>
      <c r="C971" s="1"/>
      <c r="D971" s="10"/>
      <c r="E971" s="1"/>
    </row>
    <row r="972" ht="12.75" customHeight="1">
      <c r="A972" s="1"/>
      <c r="B972" s="1"/>
      <c r="C972" s="1"/>
      <c r="D972" s="10"/>
      <c r="E972" s="1"/>
    </row>
    <row r="973" ht="12.75" customHeight="1">
      <c r="A973" s="1"/>
      <c r="B973" s="1"/>
      <c r="C973" s="1"/>
      <c r="D973" s="10"/>
      <c r="E973" s="1"/>
    </row>
    <row r="974" ht="12.75" customHeight="1">
      <c r="A974" s="1"/>
      <c r="B974" s="1"/>
      <c r="C974" s="1"/>
      <c r="D974" s="10"/>
      <c r="E974" s="1"/>
    </row>
    <row r="975" ht="12.75" customHeight="1">
      <c r="A975" s="1"/>
      <c r="B975" s="1"/>
      <c r="C975" s="1"/>
      <c r="D975" s="10"/>
      <c r="E975" s="1"/>
    </row>
    <row r="976" ht="12.75" customHeight="1">
      <c r="A976" s="1"/>
      <c r="B976" s="1"/>
      <c r="C976" s="1"/>
      <c r="D976" s="10"/>
      <c r="E976" s="1"/>
    </row>
    <row r="977" ht="12.75" customHeight="1">
      <c r="A977" s="1"/>
      <c r="B977" s="1"/>
      <c r="C977" s="1"/>
      <c r="D977" s="10"/>
      <c r="E977" s="1"/>
    </row>
    <row r="978" ht="12.75" customHeight="1">
      <c r="A978" s="1"/>
      <c r="B978" s="1"/>
      <c r="C978" s="1"/>
      <c r="D978" s="10"/>
      <c r="E978" s="1"/>
    </row>
    <row r="979" ht="12.75" customHeight="1">
      <c r="A979" s="1"/>
      <c r="B979" s="1"/>
      <c r="C979" s="1"/>
      <c r="D979" s="10"/>
      <c r="E979" s="1"/>
    </row>
    <row r="980" ht="12.75" customHeight="1">
      <c r="A980" s="1"/>
      <c r="B980" s="1"/>
      <c r="C980" s="1"/>
      <c r="D980" s="10"/>
      <c r="E980" s="1"/>
    </row>
    <row r="981" ht="12.75" customHeight="1">
      <c r="A981" s="1"/>
      <c r="B981" s="1"/>
      <c r="C981" s="1"/>
      <c r="D981" s="10"/>
      <c r="E981" s="1"/>
    </row>
    <row r="982" ht="12.75" customHeight="1">
      <c r="A982" s="1"/>
      <c r="B982" s="1"/>
      <c r="C982" s="1"/>
      <c r="D982" s="10"/>
      <c r="E982" s="1"/>
    </row>
    <row r="983" ht="12.75" customHeight="1">
      <c r="A983" s="1"/>
      <c r="B983" s="1"/>
      <c r="C983" s="1"/>
      <c r="D983" s="10"/>
      <c r="E983" s="1"/>
    </row>
    <row r="984" ht="12.75" customHeight="1">
      <c r="A984" s="1"/>
      <c r="B984" s="1"/>
      <c r="C984" s="1"/>
      <c r="D984" s="10"/>
      <c r="E984" s="1"/>
    </row>
    <row r="985" ht="12.75" customHeight="1">
      <c r="A985" s="1"/>
      <c r="B985" s="1"/>
      <c r="C985" s="1"/>
      <c r="D985" s="10"/>
      <c r="E985" s="1"/>
    </row>
    <row r="986" ht="12.75" customHeight="1">
      <c r="A986" s="1"/>
      <c r="B986" s="1"/>
      <c r="C986" s="1"/>
      <c r="D986" s="10"/>
      <c r="E986" s="1"/>
    </row>
    <row r="987" ht="12.75" customHeight="1">
      <c r="A987" s="1"/>
      <c r="B987" s="1"/>
      <c r="C987" s="1"/>
      <c r="D987" s="10"/>
      <c r="E987" s="1"/>
    </row>
    <row r="988" ht="12.75" customHeight="1">
      <c r="A988" s="1"/>
      <c r="B988" s="1"/>
      <c r="C988" s="1"/>
      <c r="D988" s="10"/>
      <c r="E988" s="1"/>
    </row>
    <row r="989" ht="12.75" customHeight="1">
      <c r="A989" s="1"/>
      <c r="B989" s="1"/>
      <c r="C989" s="1"/>
      <c r="D989" s="10"/>
      <c r="E989" s="1"/>
    </row>
    <row r="990" ht="12.75" customHeight="1">
      <c r="A990" s="1"/>
      <c r="B990" s="1"/>
      <c r="C990" s="1"/>
      <c r="D990" s="10"/>
      <c r="E990" s="1"/>
    </row>
    <row r="991" ht="12.75" customHeight="1">
      <c r="A991" s="1"/>
      <c r="B991" s="1"/>
      <c r="C991" s="1"/>
      <c r="D991" s="10"/>
      <c r="E991" s="1"/>
    </row>
    <row r="992" ht="12.75" customHeight="1">
      <c r="A992" s="1"/>
      <c r="B992" s="1"/>
      <c r="C992" s="1"/>
      <c r="D992" s="10"/>
      <c r="E992" s="1"/>
    </row>
    <row r="993" ht="12.75" customHeight="1">
      <c r="A993" s="1"/>
      <c r="B993" s="1"/>
      <c r="C993" s="1"/>
      <c r="D993" s="10"/>
      <c r="E993" s="1"/>
    </row>
    <row r="994" ht="12.75" customHeight="1">
      <c r="A994" s="1"/>
      <c r="B994" s="1"/>
      <c r="C994" s="1"/>
      <c r="D994" s="10"/>
      <c r="E994" s="1"/>
    </row>
    <row r="995" ht="12.75" customHeight="1">
      <c r="A995" s="1"/>
      <c r="B995" s="1"/>
      <c r="C995" s="1"/>
      <c r="D995" s="10"/>
      <c r="E995" s="1"/>
    </row>
    <row r="996" ht="12.75" customHeight="1">
      <c r="A996" s="1"/>
      <c r="B996" s="1"/>
      <c r="C996" s="1"/>
      <c r="D996" s="10"/>
      <c r="E996" s="1"/>
    </row>
    <row r="997" ht="12.75" customHeight="1">
      <c r="A997" s="1"/>
      <c r="B997" s="1"/>
      <c r="C997" s="1"/>
      <c r="D997" s="10"/>
      <c r="E997" s="1"/>
    </row>
    <row r="998" ht="12.75" customHeight="1">
      <c r="A998" s="1"/>
      <c r="B998" s="1"/>
      <c r="C998" s="1"/>
      <c r="D998" s="10"/>
      <c r="E998" s="1"/>
    </row>
    <row r="999" ht="12.75" customHeight="1">
      <c r="A999" s="1"/>
      <c r="B999" s="1"/>
      <c r="C999" s="1"/>
      <c r="D999" s="10"/>
      <c r="E999" s="1"/>
    </row>
    <row r="1000" ht="12.75" customHeight="1">
      <c r="A1000" s="1"/>
      <c r="B1000" s="1"/>
      <c r="C1000" s="1"/>
      <c r="D1000" s="10"/>
      <c r="E1000" s="1"/>
    </row>
  </sheetData>
  <autoFilter ref="$A$1:$E$1"/>
  <mergeCells count="5">
    <mergeCell ref="F210:F212"/>
    <mergeCell ref="F112:F113"/>
    <mergeCell ref="F259:F262"/>
    <mergeCell ref="F215:F216"/>
    <mergeCell ref="F243:F24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10.43"/>
    <col customWidth="1" min="3" max="3" width="10.14"/>
    <col customWidth="1" min="4" max="4" width="10.57"/>
    <col customWidth="1" min="5" max="5" width="21.29"/>
    <col customWidth="1" min="6" max="6" width="18.57"/>
    <col customWidth="1" min="7" max="7" width="52.0"/>
    <col customWidth="1" min="8" max="8" width="22.71"/>
    <col customWidth="1" min="9" max="9" width="4.43"/>
    <col customWidth="1" hidden="1" min="10" max="12" width="8.0"/>
    <col customWidth="1" min="13" max="18" width="9.14"/>
    <col customWidth="1" min="19" max="26" width="8.0"/>
  </cols>
  <sheetData>
    <row r="1" ht="12.75" customHeight="1">
      <c r="A1" s="1" t="s">
        <v>0</v>
      </c>
      <c r="B1" s="5" t="s">
        <v>1</v>
      </c>
      <c r="C1" s="5" t="s">
        <v>4</v>
      </c>
      <c r="D1" s="1" t="s">
        <v>2</v>
      </c>
      <c r="E1" s="9" t="s">
        <v>3</v>
      </c>
      <c r="F1" s="10" t="s">
        <v>5</v>
      </c>
      <c r="G1" s="1" t="s">
        <v>6</v>
      </c>
      <c r="H1" s="1"/>
      <c r="I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9" t="s">
        <v>7</v>
      </c>
      <c r="B2" s="31">
        <v>42527.0</v>
      </c>
      <c r="C2" s="32">
        <v>3950.0</v>
      </c>
      <c r="D2" s="29" t="s">
        <v>29</v>
      </c>
      <c r="E2" s="33">
        <v>121164.51</v>
      </c>
      <c r="F2" s="34">
        <v>42711.0</v>
      </c>
      <c r="G2" s="29" t="s">
        <v>30</v>
      </c>
      <c r="H2" s="1"/>
      <c r="I2" s="15"/>
      <c r="J2" s="35"/>
      <c r="K2" s="35"/>
      <c r="L2" s="3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29"/>
      <c r="B3" s="31"/>
      <c r="C3" s="32"/>
      <c r="D3" s="29"/>
      <c r="E3" s="33">
        <f>E2-55855.17-3097.91</f>
        <v>62211.43</v>
      </c>
      <c r="F3" s="34" t="s">
        <v>32</v>
      </c>
      <c r="G3" s="29"/>
      <c r="H3" s="1"/>
      <c r="I3" s="38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2.75" customHeight="1">
      <c r="A4" s="29"/>
      <c r="B4" s="31"/>
      <c r="C4" s="32"/>
      <c r="D4" s="29"/>
      <c r="E4" s="33">
        <f>E3-62211.43</f>
        <v>0</v>
      </c>
      <c r="F4" s="34"/>
      <c r="G4" s="29"/>
      <c r="H4" s="1"/>
      <c r="I4" s="38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2.75" customHeight="1">
      <c r="A5" s="29" t="s">
        <v>7</v>
      </c>
      <c r="B5" s="31">
        <v>42712.0</v>
      </c>
      <c r="C5" s="32">
        <v>3950.0</v>
      </c>
      <c r="D5" s="29" t="s">
        <v>33</v>
      </c>
      <c r="E5" s="33">
        <v>142505.56</v>
      </c>
      <c r="F5" s="34"/>
      <c r="G5" s="29" t="s">
        <v>34</v>
      </c>
      <c r="H5" s="1"/>
      <c r="I5" s="15"/>
      <c r="J5" s="35"/>
      <c r="K5" s="35"/>
      <c r="L5" s="3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29"/>
      <c r="B6" s="31"/>
      <c r="C6" s="32"/>
      <c r="D6" s="29"/>
      <c r="E6" s="33">
        <f>E5-69471.4</f>
        <v>73034.16</v>
      </c>
      <c r="F6" s="34" t="s">
        <v>32</v>
      </c>
      <c r="G6" s="29"/>
      <c r="H6" s="1"/>
      <c r="I6" s="38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2.75" customHeight="1">
      <c r="A7" s="29"/>
      <c r="B7" s="31"/>
      <c r="C7" s="32"/>
      <c r="D7" s="29"/>
      <c r="E7" s="33">
        <f>E6-16313.56</f>
        <v>56720.6</v>
      </c>
      <c r="F7" s="34"/>
      <c r="G7" s="29"/>
      <c r="H7" s="1"/>
      <c r="I7" s="38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29"/>
      <c r="B8" s="31"/>
      <c r="C8" s="32"/>
      <c r="D8" s="29"/>
      <c r="E8" s="33">
        <f>E7-28248.05</f>
        <v>28472.55</v>
      </c>
      <c r="F8" s="34"/>
      <c r="G8" s="29"/>
      <c r="H8" s="1"/>
      <c r="I8" s="38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29"/>
      <c r="B9" s="41">
        <v>42789.0</v>
      </c>
      <c r="C9" s="32"/>
      <c r="D9" s="42">
        <v>2917.0</v>
      </c>
      <c r="E9" s="33">
        <f>E8-28472.55</f>
        <v>0</v>
      </c>
      <c r="F9" s="34"/>
      <c r="G9" s="29"/>
      <c r="H9" s="1"/>
      <c r="I9" s="38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44" t="s">
        <v>39</v>
      </c>
      <c r="B10" s="45">
        <v>42601.0</v>
      </c>
      <c r="C10" s="46">
        <v>3007.0</v>
      </c>
      <c r="D10" s="44" t="s">
        <v>41</v>
      </c>
      <c r="E10" s="47">
        <v>250.74</v>
      </c>
      <c r="F10" s="48"/>
      <c r="G10" s="44" t="s">
        <v>42</v>
      </c>
      <c r="H10" s="25" t="s">
        <v>43</v>
      </c>
      <c r="I10" s="15"/>
      <c r="J10" s="49"/>
      <c r="K10" s="49"/>
      <c r="L10" s="4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50"/>
      <c r="B11" s="31">
        <v>42597.0</v>
      </c>
      <c r="C11" s="32">
        <v>3007.0</v>
      </c>
      <c r="D11" s="29" t="s">
        <v>44</v>
      </c>
      <c r="E11" s="33">
        <v>10987.5</v>
      </c>
      <c r="F11" s="34">
        <v>42950.0</v>
      </c>
      <c r="G11" s="29" t="s">
        <v>45</v>
      </c>
      <c r="H11" s="1"/>
      <c r="I11" s="15"/>
      <c r="J11" s="49"/>
      <c r="K11" s="49"/>
      <c r="L11" s="4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50"/>
      <c r="B12" s="31"/>
      <c r="C12" s="32"/>
      <c r="D12" s="29"/>
      <c r="E12" s="33">
        <f>E11-10987.5</f>
        <v>0</v>
      </c>
      <c r="F12" s="34"/>
      <c r="G12" s="29"/>
      <c r="H12" s="1"/>
      <c r="I12" s="51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12.75" customHeight="1">
      <c r="A13" s="52" t="s">
        <v>46</v>
      </c>
      <c r="B13" s="53">
        <v>42675.0</v>
      </c>
      <c r="C13" s="54">
        <v>3004.0</v>
      </c>
      <c r="D13" s="52" t="s">
        <v>47</v>
      </c>
      <c r="E13" s="55">
        <v>53000.0</v>
      </c>
      <c r="F13" s="56">
        <v>43027.0</v>
      </c>
      <c r="G13" s="52" t="s">
        <v>48</v>
      </c>
      <c r="H13" s="1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50"/>
      <c r="B14" s="57"/>
      <c r="C14" s="58"/>
      <c r="D14" s="50"/>
      <c r="E14" s="59">
        <f>E13-912.93-912.93-840.05</f>
        <v>50334.09</v>
      </c>
      <c r="F14" s="60"/>
      <c r="G14" s="50"/>
      <c r="H14" s="1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50"/>
      <c r="B15" s="57"/>
      <c r="C15" s="58"/>
      <c r="D15" s="50"/>
      <c r="E15" s="59">
        <f>E14-767.18</f>
        <v>49566.91</v>
      </c>
      <c r="F15" s="60"/>
      <c r="G15" s="50"/>
      <c r="H15" s="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0"/>
      <c r="B16" s="57"/>
      <c r="C16" s="58"/>
      <c r="D16" s="50"/>
      <c r="E16" s="59">
        <f>E15-747.3</f>
        <v>48819.61</v>
      </c>
      <c r="F16" s="60"/>
      <c r="G16" s="50"/>
      <c r="H16" s="1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50"/>
      <c r="B17" s="57"/>
      <c r="C17" s="58"/>
      <c r="D17" s="50"/>
      <c r="E17" s="59">
        <f>E16-809.58</f>
        <v>48010.03</v>
      </c>
      <c r="F17" s="60"/>
      <c r="G17" s="50"/>
      <c r="H17" s="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50"/>
      <c r="B18" s="57"/>
      <c r="C18" s="58"/>
      <c r="D18" s="50"/>
      <c r="E18" s="59">
        <f>E17-834.75</f>
        <v>47175.28</v>
      </c>
      <c r="F18" s="60"/>
      <c r="G18" s="50"/>
      <c r="H18" s="1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0"/>
      <c r="B19" s="57"/>
      <c r="C19" s="58"/>
      <c r="D19" s="50"/>
      <c r="E19" s="59">
        <f>E18-767.17</f>
        <v>46408.11</v>
      </c>
      <c r="F19" s="60"/>
      <c r="G19" s="50"/>
      <c r="H19" s="1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0"/>
      <c r="B20" s="57"/>
      <c r="C20" s="58"/>
      <c r="D20" s="50"/>
      <c r="E20" s="59">
        <f>E19-559.15</f>
        <v>45848.96</v>
      </c>
      <c r="F20" s="60"/>
      <c r="G20" s="50"/>
      <c r="H20" s="1"/>
      <c r="I20" s="1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50"/>
      <c r="B21" s="61">
        <v>42775.0</v>
      </c>
      <c r="C21" s="58"/>
      <c r="D21" s="62">
        <v>1158.0</v>
      </c>
      <c r="E21" s="59">
        <f>E20-621.43</f>
        <v>45227.53</v>
      </c>
      <c r="F21" s="60"/>
      <c r="G21" s="50"/>
      <c r="H21" s="1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0"/>
      <c r="B22" s="61">
        <v>42784.0</v>
      </c>
      <c r="C22" s="58"/>
      <c r="D22" s="62">
        <v>1482.0</v>
      </c>
      <c r="E22" s="59">
        <f>E21-704.9</f>
        <v>44522.63</v>
      </c>
      <c r="F22" s="60"/>
      <c r="G22" s="50"/>
      <c r="H22" s="1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50"/>
      <c r="B23" s="61">
        <v>42787.0</v>
      </c>
      <c r="C23" s="58"/>
      <c r="D23" s="62">
        <v>1495.0</v>
      </c>
      <c r="E23" s="59">
        <f>E22-492.9</f>
        <v>44029.73</v>
      </c>
      <c r="F23" s="60"/>
      <c r="G23" s="50"/>
      <c r="H23" s="1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50"/>
      <c r="B24" s="61">
        <v>42793.0</v>
      </c>
      <c r="C24" s="58"/>
      <c r="D24" s="62">
        <v>1209.0</v>
      </c>
      <c r="E24" s="59">
        <f>E23-435.93</f>
        <v>43593.8</v>
      </c>
      <c r="F24" s="60"/>
      <c r="G24" s="50"/>
      <c r="H24" s="1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0"/>
      <c r="B25" s="61">
        <v>42801.0</v>
      </c>
      <c r="C25" s="58"/>
      <c r="D25" s="62">
        <v>1246.0</v>
      </c>
      <c r="E25" s="59">
        <f>E24-683.7</f>
        <v>42910.1</v>
      </c>
      <c r="F25" s="60"/>
      <c r="G25" s="50"/>
      <c r="H25" s="1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0"/>
      <c r="B26" s="61">
        <v>42811.0</v>
      </c>
      <c r="C26" s="58"/>
      <c r="D26" s="62">
        <v>1549.0</v>
      </c>
      <c r="E26" s="59">
        <f>E25-580.35</f>
        <v>42329.75</v>
      </c>
      <c r="F26" s="60"/>
      <c r="G26" s="50"/>
      <c r="H26" s="1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0"/>
      <c r="B27" s="61">
        <v>42817.0</v>
      </c>
      <c r="C27" s="58"/>
      <c r="D27" s="62">
        <v>1312.0</v>
      </c>
      <c r="E27" s="59">
        <f>E26-844.03</f>
        <v>41485.72</v>
      </c>
      <c r="F27" s="60"/>
      <c r="G27" s="50"/>
      <c r="H27" s="1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0"/>
      <c r="B28" s="61">
        <v>42828.0</v>
      </c>
      <c r="C28" s="58"/>
      <c r="D28" s="62">
        <v>1062.0</v>
      </c>
      <c r="E28" s="59">
        <f>E27-1050.73</f>
        <v>40434.99</v>
      </c>
      <c r="F28" s="60"/>
      <c r="G28" s="50"/>
      <c r="H28" s="1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0"/>
      <c r="B29" s="61">
        <v>42838.0</v>
      </c>
      <c r="C29" s="58"/>
      <c r="D29" s="62">
        <v>1622.0</v>
      </c>
      <c r="E29" s="59">
        <f>E28-846.68</f>
        <v>39588.31</v>
      </c>
      <c r="F29" s="60"/>
      <c r="G29" s="50"/>
      <c r="H29" s="1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0"/>
      <c r="B30" s="61">
        <v>42853.0</v>
      </c>
      <c r="C30" s="58"/>
      <c r="D30" s="62">
        <v>610.0</v>
      </c>
      <c r="E30" s="59">
        <f>E29-1097.1</f>
        <v>38491.21</v>
      </c>
      <c r="F30" s="60"/>
      <c r="G30" s="50"/>
      <c r="H30" s="1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0"/>
      <c r="B31" s="61">
        <v>42863.0</v>
      </c>
      <c r="C31" s="61">
        <v>42870.0</v>
      </c>
      <c r="D31" s="62">
        <v>1443.0</v>
      </c>
      <c r="E31" s="59">
        <f>E30-809.58</f>
        <v>37681.63</v>
      </c>
      <c r="F31" s="60"/>
      <c r="G31" s="50"/>
      <c r="H31" s="1"/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50"/>
      <c r="B32" s="61">
        <v>42871.0</v>
      </c>
      <c r="C32" s="61">
        <v>42873.0</v>
      </c>
      <c r="D32" s="62">
        <v>1504.0</v>
      </c>
      <c r="E32" s="59">
        <f>E31-723.45</f>
        <v>36958.18</v>
      </c>
      <c r="F32" s="60"/>
      <c r="G32" s="50"/>
      <c r="H32" s="1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50"/>
      <c r="B33" s="61">
        <v>42877.0</v>
      </c>
      <c r="C33" s="61">
        <v>42881.0</v>
      </c>
      <c r="D33" s="62">
        <v>1743.0</v>
      </c>
      <c r="E33" s="59">
        <f>E32-367.03</f>
        <v>36591.15</v>
      </c>
      <c r="F33" s="60"/>
      <c r="G33" s="50"/>
      <c r="H33" s="1"/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50"/>
      <c r="B34" s="61">
        <v>42887.0</v>
      </c>
      <c r="C34" s="61">
        <v>42894.0</v>
      </c>
      <c r="D34" s="62">
        <v>362.0</v>
      </c>
      <c r="E34" s="59">
        <f>E33-723.47</f>
        <v>35867.68</v>
      </c>
      <c r="F34" s="60"/>
      <c r="G34" s="50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50"/>
      <c r="B35" s="61">
        <v>42898.0</v>
      </c>
      <c r="C35" s="61">
        <v>42905.0</v>
      </c>
      <c r="D35" s="62">
        <v>127.0</v>
      </c>
      <c r="E35" s="59">
        <f>E34-948.7</f>
        <v>34918.98</v>
      </c>
      <c r="F35" s="60"/>
      <c r="G35" s="50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50"/>
      <c r="B36" s="61">
        <v>42907.0</v>
      </c>
      <c r="C36" s="61">
        <v>42913.0</v>
      </c>
      <c r="D36" s="62">
        <v>330.0</v>
      </c>
      <c r="E36" s="59">
        <f>E35-1030.25</f>
        <v>33888.73</v>
      </c>
      <c r="F36" s="60"/>
      <c r="G36" s="50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50"/>
      <c r="B37" s="61">
        <v>42919.0</v>
      </c>
      <c r="C37" s="61">
        <v>42926.0</v>
      </c>
      <c r="D37" s="62">
        <v>1779.0</v>
      </c>
      <c r="E37" s="59">
        <f>E36-948.7</f>
        <v>32940.03</v>
      </c>
      <c r="F37" s="60"/>
      <c r="G37" s="50"/>
      <c r="H37" s="1"/>
      <c r="I37" s="1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50"/>
      <c r="B38" s="61">
        <v>42929.0</v>
      </c>
      <c r="C38" s="61">
        <v>42933.0</v>
      </c>
      <c r="D38" s="62">
        <v>1919.0</v>
      </c>
      <c r="E38" s="59">
        <f>E37-1071.93</f>
        <v>31868.1</v>
      </c>
      <c r="F38" s="60"/>
      <c r="G38" s="50"/>
      <c r="H38" s="1"/>
      <c r="I38" s="1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50"/>
      <c r="B39" s="61">
        <v>42936.0</v>
      </c>
      <c r="C39" s="61">
        <v>42948.0</v>
      </c>
      <c r="D39" s="62">
        <v>155.0</v>
      </c>
      <c r="E39" s="59">
        <f>E38-710.2</f>
        <v>31157.9</v>
      </c>
      <c r="F39" s="60"/>
      <c r="G39" s="50"/>
      <c r="H39" s="1"/>
      <c r="I39" s="1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50"/>
      <c r="B40" s="61">
        <v>42951.0</v>
      </c>
      <c r="C40" s="61">
        <v>42955.0</v>
      </c>
      <c r="D40" s="62">
        <v>1992.0</v>
      </c>
      <c r="E40" s="59">
        <f>E39-879.8</f>
        <v>30278.1</v>
      </c>
      <c r="F40" s="60"/>
      <c r="G40" s="50"/>
      <c r="H40" s="1"/>
      <c r="I40" s="1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50"/>
      <c r="B41" s="61">
        <v>42944.0</v>
      </c>
      <c r="C41" s="61">
        <v>42955.0</v>
      </c>
      <c r="D41" s="62">
        <v>1865.0</v>
      </c>
      <c r="E41" s="59">
        <f>E40-663.83</f>
        <v>29614.27</v>
      </c>
      <c r="F41" s="60"/>
      <c r="G41" s="50"/>
      <c r="H41" s="1"/>
      <c r="I41" s="1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50"/>
      <c r="B42" s="61">
        <v>42961.0</v>
      </c>
      <c r="C42" s="61">
        <v>42969.0</v>
      </c>
      <c r="D42" s="62">
        <v>888.0</v>
      </c>
      <c r="E42" s="59">
        <f>E41-932.8</f>
        <v>28681.47</v>
      </c>
      <c r="F42" s="60"/>
      <c r="G42" s="50"/>
      <c r="H42" s="1"/>
      <c r="I42" s="1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50"/>
      <c r="B43" s="61">
        <v>42971.0</v>
      </c>
      <c r="C43" s="61">
        <v>42978.0</v>
      </c>
      <c r="D43" s="62">
        <v>160.0</v>
      </c>
      <c r="E43" s="59">
        <f>E42-1114.33</f>
        <v>27567.14</v>
      </c>
      <c r="F43" s="60"/>
      <c r="G43" s="50"/>
      <c r="H43" s="1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50"/>
      <c r="B44" s="61">
        <v>42983.0</v>
      </c>
      <c r="C44" s="61">
        <v>42992.0</v>
      </c>
      <c r="D44" s="62">
        <v>1954.0</v>
      </c>
      <c r="E44" s="59">
        <f>E43-1037.48</f>
        <v>26529.66</v>
      </c>
      <c r="F44" s="60"/>
      <c r="G44" s="50"/>
      <c r="H44" s="1"/>
      <c r="I44" s="1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50"/>
      <c r="B45" s="61">
        <v>42991.0</v>
      </c>
      <c r="C45" s="61">
        <v>42996.0</v>
      </c>
      <c r="D45" s="62">
        <v>2006.0</v>
      </c>
      <c r="E45" s="59">
        <f>E44-683.7</f>
        <v>25845.96</v>
      </c>
      <c r="F45" s="60"/>
      <c r="G45" s="50"/>
      <c r="H45" s="1"/>
      <c r="I45" s="1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50"/>
      <c r="B46" s="61">
        <v>43000.0</v>
      </c>
      <c r="C46" s="61">
        <v>43005.0</v>
      </c>
      <c r="D46" s="62">
        <v>158.0</v>
      </c>
      <c r="E46" s="59">
        <f>E45-939.42</f>
        <v>24906.54</v>
      </c>
      <c r="F46" s="60"/>
      <c r="G46" s="50"/>
      <c r="H46" s="1"/>
      <c r="I46" s="1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50"/>
      <c r="B47" s="61">
        <v>43010.0</v>
      </c>
      <c r="C47" s="61">
        <v>43014.0</v>
      </c>
      <c r="D47" s="62">
        <v>2102.0</v>
      </c>
      <c r="E47" s="59">
        <f>E46-951.35</f>
        <v>23955.19</v>
      </c>
      <c r="F47" s="60"/>
      <c r="G47" s="50"/>
      <c r="H47" s="1"/>
      <c r="I47" s="1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50"/>
      <c r="B48" s="61">
        <v>43023.0</v>
      </c>
      <c r="C48" s="61">
        <v>43045.0</v>
      </c>
      <c r="D48" s="62">
        <v>83.0</v>
      </c>
      <c r="E48" s="59">
        <f>E47-987.13</f>
        <v>22968.06</v>
      </c>
      <c r="F48" s="60"/>
      <c r="G48" s="50"/>
      <c r="H48" s="1"/>
      <c r="I48" s="1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50"/>
      <c r="B49" s="61">
        <v>43013.0</v>
      </c>
      <c r="C49" s="61">
        <v>43045.0</v>
      </c>
      <c r="D49" s="62">
        <v>2131.0</v>
      </c>
      <c r="E49" s="59">
        <f>E48-572.4</f>
        <v>22395.66</v>
      </c>
      <c r="F49" s="60"/>
      <c r="G49" s="50"/>
      <c r="H49" s="1"/>
      <c r="I49" s="1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29" t="s">
        <v>163</v>
      </c>
      <c r="B50" s="31">
        <v>42571.0</v>
      </c>
      <c r="C50" s="32">
        <v>3036.0</v>
      </c>
      <c r="D50" s="29" t="s">
        <v>165</v>
      </c>
      <c r="E50" s="33">
        <v>11456.5</v>
      </c>
      <c r="F50" s="34">
        <v>42751.0</v>
      </c>
      <c r="G50" s="29" t="s">
        <v>169</v>
      </c>
      <c r="H50" s="1"/>
      <c r="I50" s="15"/>
      <c r="J50" s="49"/>
      <c r="K50" s="49"/>
      <c r="L50" s="4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29"/>
      <c r="B51" s="31"/>
      <c r="C51" s="32"/>
      <c r="D51" s="29"/>
      <c r="E51" s="33">
        <v>0.0</v>
      </c>
      <c r="F51" s="34"/>
      <c r="G51" s="29"/>
      <c r="H51" s="1"/>
      <c r="I51" s="15"/>
      <c r="J51" s="49"/>
      <c r="K51" s="49"/>
      <c r="L51" s="4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52" t="s">
        <v>171</v>
      </c>
      <c r="B52" s="76">
        <v>42716.0</v>
      </c>
      <c r="C52" s="54">
        <v>3036.0</v>
      </c>
      <c r="D52" s="52" t="s">
        <v>176</v>
      </c>
      <c r="E52" s="55">
        <v>4189.0</v>
      </c>
      <c r="F52" s="56">
        <v>42897.0</v>
      </c>
      <c r="G52" s="52" t="s">
        <v>177</v>
      </c>
      <c r="H52" s="1"/>
      <c r="I52" s="1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50"/>
      <c r="B53" s="78"/>
      <c r="C53" s="58"/>
      <c r="D53" s="50"/>
      <c r="E53" s="59">
        <f>E52-4183</f>
        <v>6</v>
      </c>
      <c r="F53" s="60"/>
      <c r="G53" s="50"/>
      <c r="H53" s="1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52" t="s">
        <v>186</v>
      </c>
      <c r="B54" s="76">
        <v>42720.0</v>
      </c>
      <c r="C54" s="54">
        <v>3035.0</v>
      </c>
      <c r="D54" s="52" t="s">
        <v>187</v>
      </c>
      <c r="E54" s="55">
        <v>30782.1</v>
      </c>
      <c r="F54" s="56"/>
      <c r="G54" s="52" t="s">
        <v>188</v>
      </c>
      <c r="H54" s="1"/>
      <c r="I54" s="1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50"/>
      <c r="B55" s="61">
        <v>42779.0</v>
      </c>
      <c r="C55" s="58"/>
      <c r="D55" s="62">
        <v>7401.0</v>
      </c>
      <c r="E55" s="59">
        <f>E54-1523.26</f>
        <v>29258.84</v>
      </c>
      <c r="F55" s="60"/>
      <c r="G55" s="50"/>
      <c r="H55" s="1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50"/>
      <c r="B56" s="61">
        <v>42781.0</v>
      </c>
      <c r="C56" s="58"/>
      <c r="D56" s="62">
        <v>7478.0</v>
      </c>
      <c r="E56" s="59">
        <f>E55-390</f>
        <v>28868.84</v>
      </c>
      <c r="F56" s="60"/>
      <c r="G56" s="50"/>
      <c r="H56" s="1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50"/>
      <c r="B57" s="61">
        <v>42824.0</v>
      </c>
      <c r="C57" s="58"/>
      <c r="D57" s="62">
        <v>8232.0</v>
      </c>
      <c r="E57" s="59">
        <f>E56-333.4</f>
        <v>28535.44</v>
      </c>
      <c r="F57" s="60"/>
      <c r="G57" s="50"/>
      <c r="H57" s="1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50"/>
      <c r="B58" s="61">
        <v>42851.0</v>
      </c>
      <c r="C58" s="58"/>
      <c r="D58" s="62">
        <v>8687.0</v>
      </c>
      <c r="E58" s="59">
        <f>E57-1588.45</f>
        <v>26946.99</v>
      </c>
      <c r="F58" s="60"/>
      <c r="G58" s="50"/>
      <c r="H58" s="1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50"/>
      <c r="B59" s="61">
        <v>42871.0</v>
      </c>
      <c r="C59" s="61">
        <v>42880.0</v>
      </c>
      <c r="D59" s="62">
        <v>8866.0</v>
      </c>
      <c r="E59" s="59">
        <f>E58-281.4</f>
        <v>26665.59</v>
      </c>
      <c r="F59" s="60"/>
      <c r="G59" s="50"/>
      <c r="H59" s="1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50"/>
      <c r="B60" s="61">
        <v>42891.0</v>
      </c>
      <c r="C60" s="61">
        <v>42894.0</v>
      </c>
      <c r="D60" s="62">
        <v>9045.0</v>
      </c>
      <c r="E60" s="59">
        <f>E59-356</f>
        <v>26309.59</v>
      </c>
      <c r="F60" s="60"/>
      <c r="G60" s="50"/>
      <c r="H60" s="1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50"/>
      <c r="B61" s="61">
        <v>42908.0</v>
      </c>
      <c r="C61" s="61">
        <v>42913.0</v>
      </c>
      <c r="D61" s="62">
        <v>9181.0</v>
      </c>
      <c r="E61" s="59">
        <f>E60-2586.21</f>
        <v>23723.38</v>
      </c>
      <c r="F61" s="60"/>
      <c r="G61" s="50"/>
      <c r="H61" s="1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50"/>
      <c r="B62" s="61">
        <v>42976.0</v>
      </c>
      <c r="C62" s="61">
        <v>42983.0</v>
      </c>
      <c r="D62" s="62">
        <v>9842.0</v>
      </c>
      <c r="E62" s="59">
        <f>E61-934.89</f>
        <v>22788.49</v>
      </c>
      <c r="F62" s="60"/>
      <c r="G62" s="50"/>
      <c r="H62" s="1"/>
      <c r="I62" s="1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50"/>
      <c r="B63" s="61">
        <v>42983.0</v>
      </c>
      <c r="C63" s="61">
        <v>42993.0</v>
      </c>
      <c r="D63" s="62">
        <v>9954.0</v>
      </c>
      <c r="E63" s="59">
        <f>E62-260</f>
        <v>22528.49</v>
      </c>
      <c r="F63" s="60"/>
      <c r="G63" s="50"/>
      <c r="H63" s="1"/>
      <c r="I63" s="1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50"/>
      <c r="B64" s="61">
        <v>43011.0</v>
      </c>
      <c r="C64" s="61">
        <v>43017.0</v>
      </c>
      <c r="D64" s="62">
        <v>10238.0</v>
      </c>
      <c r="E64" s="59">
        <f>E63-67.6</f>
        <v>22460.89</v>
      </c>
      <c r="F64" s="60"/>
      <c r="G64" s="50"/>
      <c r="H64" s="1"/>
      <c r="I64" s="1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50"/>
      <c r="B65" s="61">
        <v>43017.0</v>
      </c>
      <c r="C65" s="61">
        <v>43026.0</v>
      </c>
      <c r="D65" s="62">
        <v>10309.0</v>
      </c>
      <c r="E65" s="59">
        <f>E64-1042.65</f>
        <v>21418.24</v>
      </c>
      <c r="F65" s="60"/>
      <c r="G65" s="50"/>
      <c r="H65" s="1"/>
      <c r="I65" s="1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50"/>
      <c r="B66" s="61">
        <v>43033.0</v>
      </c>
      <c r="C66" s="61">
        <v>43062.0</v>
      </c>
      <c r="D66" s="62">
        <v>10469.0</v>
      </c>
      <c r="E66" s="59">
        <f>E65-4636.45</f>
        <v>16781.79</v>
      </c>
      <c r="F66" s="60"/>
      <c r="G66" s="50"/>
      <c r="H66" s="1"/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50"/>
      <c r="B67" s="61">
        <v>43039.0</v>
      </c>
      <c r="C67" s="61">
        <v>43062.0</v>
      </c>
      <c r="D67" s="62">
        <v>10547.0</v>
      </c>
      <c r="E67" s="59">
        <f>E66-2322</f>
        <v>14459.79</v>
      </c>
      <c r="F67" s="60"/>
      <c r="G67" s="50"/>
      <c r="H67" s="1"/>
      <c r="I67" s="1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50"/>
      <c r="B68" s="61">
        <v>43042.0</v>
      </c>
      <c r="C68" s="61">
        <v>43062.0</v>
      </c>
      <c r="D68" s="62">
        <v>10569.0</v>
      </c>
      <c r="E68" s="59">
        <f>E67-1503.2</f>
        <v>12956.59</v>
      </c>
      <c r="F68" s="60"/>
      <c r="G68" s="50"/>
      <c r="H68" s="1"/>
      <c r="I68" s="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50"/>
      <c r="B69" s="61">
        <v>43039.0</v>
      </c>
      <c r="C69" s="61">
        <v>43062.0</v>
      </c>
      <c r="D69" s="62">
        <v>10545.0</v>
      </c>
      <c r="E69" s="59">
        <f>E68-3932.2</f>
        <v>9024.39</v>
      </c>
      <c r="F69" s="60"/>
      <c r="G69" s="50"/>
      <c r="H69" s="1"/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50"/>
      <c r="B70" s="61">
        <v>43046.0</v>
      </c>
      <c r="C70" s="61">
        <v>43062.0</v>
      </c>
      <c r="D70" s="62">
        <v>10606.0</v>
      </c>
      <c r="E70" s="59">
        <f>E69-41.96</f>
        <v>8982.43</v>
      </c>
      <c r="F70" s="60"/>
      <c r="G70" s="50"/>
      <c r="H70" s="1"/>
      <c r="I70" s="1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52" t="s">
        <v>186</v>
      </c>
      <c r="B71" s="76">
        <v>42720.0</v>
      </c>
      <c r="C71" s="54">
        <v>3035.0</v>
      </c>
      <c r="D71" s="52" t="s">
        <v>214</v>
      </c>
      <c r="E71" s="55">
        <v>4190.0</v>
      </c>
      <c r="F71" s="56"/>
      <c r="G71" s="52" t="s">
        <v>215</v>
      </c>
      <c r="H71" s="16"/>
      <c r="I71" s="85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2.75" customHeight="1">
      <c r="A72" s="50"/>
      <c r="B72" s="61">
        <v>42824.0</v>
      </c>
      <c r="C72" s="58"/>
      <c r="D72" s="62">
        <v>8234.0</v>
      </c>
      <c r="E72" s="59">
        <f>E71-640</f>
        <v>3550</v>
      </c>
      <c r="F72" s="60"/>
      <c r="G72" s="50"/>
      <c r="H72" s="1"/>
      <c r="I72" s="1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50"/>
      <c r="B73" s="61">
        <v>43024.0</v>
      </c>
      <c r="C73" s="88">
        <v>43033.0</v>
      </c>
      <c r="D73" s="62">
        <v>10368.0</v>
      </c>
      <c r="E73" s="59">
        <f>E72-320</f>
        <v>3230</v>
      </c>
      <c r="F73" s="60"/>
      <c r="G73" s="50"/>
      <c r="H73" s="1"/>
      <c r="I73" s="1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50"/>
      <c r="B74" s="61">
        <v>43039.0</v>
      </c>
      <c r="C74" s="88">
        <v>43062.0</v>
      </c>
      <c r="D74" s="62">
        <v>10546.0</v>
      </c>
      <c r="E74" s="59">
        <f>E73-990</f>
        <v>2240</v>
      </c>
      <c r="F74" s="60"/>
      <c r="G74" s="50"/>
      <c r="H74" s="1"/>
      <c r="I74" s="1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50"/>
      <c r="B75" s="61">
        <v>43046.0</v>
      </c>
      <c r="C75" s="88">
        <v>43062.0</v>
      </c>
      <c r="D75" s="62">
        <v>10605.0</v>
      </c>
      <c r="E75" s="59">
        <f>E74-1664</f>
        <v>576</v>
      </c>
      <c r="F75" s="60"/>
      <c r="G75" s="50"/>
      <c r="H75" s="1"/>
      <c r="I75" s="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52" t="s">
        <v>186</v>
      </c>
      <c r="B76" s="76">
        <v>42720.0</v>
      </c>
      <c r="C76" s="54">
        <v>3035.0</v>
      </c>
      <c r="D76" s="52" t="s">
        <v>225</v>
      </c>
      <c r="E76" s="55">
        <v>22403.89</v>
      </c>
      <c r="F76" s="56">
        <v>43083.0</v>
      </c>
      <c r="G76" s="52" t="s">
        <v>226</v>
      </c>
      <c r="H76" s="16"/>
      <c r="I76" s="85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2.75" customHeight="1">
      <c r="A77" s="50"/>
      <c r="B77" s="61">
        <v>42810.0</v>
      </c>
      <c r="C77" s="58"/>
      <c r="D77" s="62">
        <v>7983.0</v>
      </c>
      <c r="E77" s="59">
        <f>E76-2279.85</f>
        <v>20124.04</v>
      </c>
      <c r="F77" s="60"/>
      <c r="G77" s="50"/>
      <c r="H77" s="1"/>
      <c r="I77" s="1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50"/>
      <c r="B78" s="61">
        <v>42810.0</v>
      </c>
      <c r="C78" s="58"/>
      <c r="D78" s="62">
        <v>7969.0</v>
      </c>
      <c r="E78" s="59">
        <f>E77-1363.9</f>
        <v>18760.14</v>
      </c>
      <c r="F78" s="60"/>
      <c r="G78" s="50"/>
      <c r="H78" s="1"/>
      <c r="I78" s="1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50"/>
      <c r="B79" s="61">
        <v>42824.0</v>
      </c>
      <c r="C79" s="58"/>
      <c r="D79" s="62">
        <v>8233.0</v>
      </c>
      <c r="E79" s="59">
        <f>E78-37.5</f>
        <v>18722.64</v>
      </c>
      <c r="F79" s="60"/>
      <c r="G79" s="50"/>
      <c r="H79" s="1"/>
      <c r="I79" s="1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50"/>
      <c r="B80" s="61">
        <v>42829.0</v>
      </c>
      <c r="C80" s="58"/>
      <c r="D80" s="62">
        <v>8301.0</v>
      </c>
      <c r="E80" s="59">
        <f>E79-740</f>
        <v>17982.64</v>
      </c>
      <c r="F80" s="60"/>
      <c r="G80" s="50"/>
      <c r="H80" s="1"/>
      <c r="I80" s="1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50"/>
      <c r="B81" s="61">
        <v>42831.0</v>
      </c>
      <c r="C81" s="58"/>
      <c r="D81" s="62">
        <v>8368.0</v>
      </c>
      <c r="E81" s="59">
        <f>E80-730.7</f>
        <v>17251.94</v>
      </c>
      <c r="F81" s="60"/>
      <c r="G81" s="50"/>
      <c r="H81" s="1"/>
      <c r="I81" s="1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50"/>
      <c r="B82" s="61">
        <v>42851.0</v>
      </c>
      <c r="C82" s="58"/>
      <c r="D82" s="62">
        <v>8685.0</v>
      </c>
      <c r="E82" s="59">
        <f>E81-154</f>
        <v>17097.94</v>
      </c>
      <c r="F82" s="60"/>
      <c r="G82" s="50"/>
      <c r="H82" s="1"/>
      <c r="I82" s="1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50"/>
      <c r="B83" s="61">
        <v>42879.0</v>
      </c>
      <c r="C83" s="61">
        <v>42887.0</v>
      </c>
      <c r="D83" s="62">
        <v>8949.0</v>
      </c>
      <c r="E83" s="59">
        <f>E82-873.45</f>
        <v>16224.49</v>
      </c>
      <c r="F83" s="60"/>
      <c r="G83" s="50"/>
      <c r="H83" s="1"/>
      <c r="I83" s="1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50"/>
      <c r="B84" s="61">
        <v>42908.0</v>
      </c>
      <c r="C84" s="61">
        <v>42913.0</v>
      </c>
      <c r="D84" s="62">
        <v>9182.0</v>
      </c>
      <c r="E84" s="59">
        <f>E83-292</f>
        <v>15932.49</v>
      </c>
      <c r="F84" s="60"/>
      <c r="G84" s="50"/>
      <c r="H84" s="1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50"/>
      <c r="B85" s="61">
        <v>42913.0</v>
      </c>
      <c r="C85" s="61">
        <v>42920.0</v>
      </c>
      <c r="D85" s="62">
        <v>9225.0</v>
      </c>
      <c r="E85" s="59">
        <f>E84-406.3</f>
        <v>15526.19</v>
      </c>
      <c r="F85" s="60"/>
      <c r="G85" s="50"/>
      <c r="H85" s="1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50"/>
      <c r="B86" s="61">
        <v>42922.0</v>
      </c>
      <c r="C86" s="61">
        <v>42926.0</v>
      </c>
      <c r="D86" s="62">
        <v>9331.0</v>
      </c>
      <c r="E86" s="59">
        <f>E85-3029</f>
        <v>12497.19</v>
      </c>
      <c r="F86" s="60"/>
      <c r="G86" s="50"/>
      <c r="H86" s="1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50"/>
      <c r="B87" s="61">
        <v>42976.0</v>
      </c>
      <c r="C87" s="61">
        <v>42983.0</v>
      </c>
      <c r="D87" s="62">
        <v>9873.0</v>
      </c>
      <c r="E87" s="59">
        <f>E86-146.45</f>
        <v>12350.74</v>
      </c>
      <c r="F87" s="60"/>
      <c r="G87" s="50"/>
      <c r="H87" s="1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50"/>
      <c r="B88" s="61">
        <v>43011.0</v>
      </c>
      <c r="C88" s="61">
        <v>43017.0</v>
      </c>
      <c r="D88" s="62">
        <v>10235.0</v>
      </c>
      <c r="E88" s="59">
        <f>E87-1110</f>
        <v>11240.74</v>
      </c>
      <c r="F88" s="60"/>
      <c r="G88" s="50"/>
      <c r="H88" s="1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52" t="s">
        <v>266</v>
      </c>
      <c r="B89" s="76">
        <v>42720.0</v>
      </c>
      <c r="C89" s="54">
        <v>3035.0</v>
      </c>
      <c r="D89" s="52" t="s">
        <v>267</v>
      </c>
      <c r="E89" s="55">
        <v>2166.35</v>
      </c>
      <c r="F89" s="56"/>
      <c r="G89" s="52" t="s">
        <v>188</v>
      </c>
      <c r="H89" s="1"/>
      <c r="I89" s="1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50"/>
      <c r="B90" s="61">
        <v>42781.0</v>
      </c>
      <c r="C90" s="58"/>
      <c r="D90" s="62">
        <v>11708.0</v>
      </c>
      <c r="E90" s="59">
        <f>E89-169.35</f>
        <v>1997</v>
      </c>
      <c r="F90" s="60"/>
      <c r="G90" s="50"/>
      <c r="H90" s="1"/>
      <c r="I90" s="1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50"/>
      <c r="B91" s="61">
        <v>42837.0</v>
      </c>
      <c r="C91" s="58"/>
      <c r="D91" s="62">
        <v>11869.0</v>
      </c>
      <c r="E91" s="59">
        <f>E90-42</f>
        <v>1955</v>
      </c>
      <c r="F91" s="60"/>
      <c r="G91" s="50"/>
      <c r="H91" s="1"/>
      <c r="I91" s="1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50"/>
      <c r="B92" s="61">
        <v>42873.0</v>
      </c>
      <c r="C92" s="61">
        <v>42880.0</v>
      </c>
      <c r="D92" s="62">
        <v>11938.0</v>
      </c>
      <c r="E92" s="59">
        <f>E91-169.35</f>
        <v>1785.65</v>
      </c>
      <c r="F92" s="60"/>
      <c r="G92" s="50"/>
      <c r="H92" s="1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50"/>
      <c r="B93" s="61">
        <v>42971.0</v>
      </c>
      <c r="C93" s="61">
        <v>42983.0</v>
      </c>
      <c r="D93" s="62">
        <v>12050.0</v>
      </c>
      <c r="E93" s="59">
        <f>E92-138.13</f>
        <v>1647.52</v>
      </c>
      <c r="F93" s="60"/>
      <c r="G93" s="50"/>
      <c r="H93" s="1"/>
      <c r="I93" s="1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50"/>
      <c r="B94" s="61">
        <v>43005.0</v>
      </c>
      <c r="C94" s="61">
        <v>43013.0</v>
      </c>
      <c r="D94" s="62">
        <v>12068.0</v>
      </c>
      <c r="E94" s="59">
        <f>E93-101.61</f>
        <v>1545.91</v>
      </c>
      <c r="F94" s="60"/>
      <c r="G94" s="50"/>
      <c r="H94" s="1"/>
      <c r="I94" s="1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50"/>
      <c r="B95" s="61">
        <v>43018.0</v>
      </c>
      <c r="C95" s="61">
        <v>43026.0</v>
      </c>
      <c r="D95" s="62">
        <v>12075.0</v>
      </c>
      <c r="E95" s="59">
        <f>E94-135.48</f>
        <v>1410.43</v>
      </c>
      <c r="F95" s="60"/>
      <c r="G95" s="50"/>
      <c r="H95" s="1"/>
      <c r="I95" s="1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50"/>
      <c r="B96" s="61">
        <v>43063.0</v>
      </c>
      <c r="C96" s="61">
        <v>43063.0</v>
      </c>
      <c r="D96" s="62">
        <v>12088.0</v>
      </c>
      <c r="E96" s="59">
        <f>E95-136.47</f>
        <v>1273.96</v>
      </c>
      <c r="F96" s="60"/>
      <c r="G96" s="50"/>
      <c r="H96" s="1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44" t="s">
        <v>268</v>
      </c>
      <c r="B97" s="45">
        <v>42461.0</v>
      </c>
      <c r="C97" s="46">
        <v>3916.0</v>
      </c>
      <c r="D97" s="44" t="s">
        <v>269</v>
      </c>
      <c r="E97" s="47">
        <v>11100.0</v>
      </c>
      <c r="F97" s="48">
        <v>42824.0</v>
      </c>
      <c r="G97" s="44" t="s">
        <v>270</v>
      </c>
      <c r="H97" s="30" t="s">
        <v>22</v>
      </c>
      <c r="I97" s="15"/>
      <c r="J97" s="35"/>
      <c r="K97" s="35"/>
      <c r="L97" s="3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44"/>
      <c r="B98" s="45"/>
      <c r="C98" s="46"/>
      <c r="D98" s="44"/>
      <c r="E98" s="47">
        <f t="shared" ref="E98:E99" si="1">E97-3700</f>
        <v>7400</v>
      </c>
      <c r="F98" s="48"/>
      <c r="G98" s="44"/>
      <c r="H98" s="1"/>
      <c r="I98" s="38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44"/>
      <c r="B99" s="99">
        <v>42926.0</v>
      </c>
      <c r="C99" s="99">
        <v>42930.0</v>
      </c>
      <c r="D99" s="100">
        <v>1782.0</v>
      </c>
      <c r="E99" s="47">
        <f t="shared" si="1"/>
        <v>3700</v>
      </c>
      <c r="F99" s="48"/>
      <c r="G99" s="44"/>
      <c r="H99" s="1"/>
      <c r="I99" s="1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29" t="s">
        <v>271</v>
      </c>
      <c r="B100" s="31">
        <v>42192.0</v>
      </c>
      <c r="C100" s="32"/>
      <c r="D100" s="29" t="s">
        <v>272</v>
      </c>
      <c r="E100" s="33">
        <v>0.0</v>
      </c>
      <c r="F100" s="34">
        <v>42907.0</v>
      </c>
      <c r="G100" s="29" t="s">
        <v>273</v>
      </c>
      <c r="H100" s="1"/>
      <c r="I100" s="1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52" t="s">
        <v>274</v>
      </c>
      <c r="B101" s="53">
        <v>42644.0</v>
      </c>
      <c r="C101" s="54">
        <v>3036.0</v>
      </c>
      <c r="D101" s="52" t="s">
        <v>275</v>
      </c>
      <c r="E101" s="55">
        <v>349069.78</v>
      </c>
      <c r="F101" s="56">
        <v>42998.0</v>
      </c>
      <c r="G101" s="52" t="s">
        <v>276</v>
      </c>
      <c r="H101" s="1"/>
      <c r="I101" s="15"/>
      <c r="J101" s="35"/>
      <c r="K101" s="35"/>
      <c r="L101" s="3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50"/>
      <c r="B102" s="57"/>
      <c r="C102" s="58"/>
      <c r="D102" s="50">
        <v>141827.0</v>
      </c>
      <c r="E102" s="59">
        <f>E101-2160.99</f>
        <v>346908.79</v>
      </c>
      <c r="F102" s="60"/>
      <c r="G102" s="50" t="s">
        <v>277</v>
      </c>
      <c r="H102" s="1"/>
      <c r="I102" s="38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50"/>
      <c r="B103" s="57"/>
      <c r="C103" s="58"/>
      <c r="D103" s="50">
        <v>142389.0</v>
      </c>
      <c r="E103" s="59">
        <f>E102-1024</f>
        <v>345884.79</v>
      </c>
      <c r="F103" s="60"/>
      <c r="G103" s="50"/>
      <c r="H103" s="1"/>
      <c r="I103" s="38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50"/>
      <c r="B104" s="57"/>
      <c r="C104" s="58"/>
      <c r="D104" s="50">
        <v>143290.0</v>
      </c>
      <c r="E104" s="59">
        <f>E103-7167</f>
        <v>338717.79</v>
      </c>
      <c r="F104" s="60"/>
      <c r="G104" s="50"/>
      <c r="H104" s="1"/>
      <c r="I104" s="38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50"/>
      <c r="B105" s="101">
        <v>42818.0</v>
      </c>
      <c r="C105" s="102"/>
      <c r="D105" s="102">
        <v>151235.0</v>
      </c>
      <c r="E105" s="59">
        <f>E104-3798.29</f>
        <v>334919.5</v>
      </c>
      <c r="F105" s="60"/>
      <c r="G105" s="50"/>
      <c r="H105" s="1"/>
      <c r="I105" s="38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50"/>
      <c r="B106" s="101">
        <v>42818.0</v>
      </c>
      <c r="C106" s="102"/>
      <c r="D106" s="102">
        <v>151247.0</v>
      </c>
      <c r="E106" s="59">
        <f>E105-60315.2</f>
        <v>274604.3</v>
      </c>
      <c r="F106" s="60"/>
      <c r="G106" s="50"/>
      <c r="H106" s="1"/>
      <c r="I106" s="38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50"/>
      <c r="B107" s="101">
        <v>42818.0</v>
      </c>
      <c r="C107" s="102"/>
      <c r="D107" s="102">
        <v>151248.0</v>
      </c>
      <c r="E107" s="59">
        <f>E106-13112</f>
        <v>261492.3</v>
      </c>
      <c r="F107" s="60"/>
      <c r="G107" s="50"/>
      <c r="H107" s="1"/>
      <c r="I107" s="38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50"/>
      <c r="B108" s="101">
        <v>42818.0</v>
      </c>
      <c r="C108" s="102"/>
      <c r="D108" s="102">
        <v>151580.0</v>
      </c>
      <c r="E108" s="59">
        <f>E107-1225.92</f>
        <v>260266.38</v>
      </c>
      <c r="F108" s="60"/>
      <c r="G108" s="50"/>
      <c r="H108" s="1"/>
      <c r="I108" s="38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50"/>
      <c r="B109" s="101">
        <v>42965.0</v>
      </c>
      <c r="C109" s="103">
        <v>42978.0</v>
      </c>
      <c r="D109" s="102">
        <v>167145.0</v>
      </c>
      <c r="E109" s="59">
        <f>E108-83688</f>
        <v>176578.38</v>
      </c>
      <c r="F109" s="60"/>
      <c r="G109" s="50"/>
      <c r="H109" s="1"/>
      <c r="I109" s="38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50"/>
      <c r="B110" s="101">
        <v>42968.0</v>
      </c>
      <c r="C110" s="103">
        <v>42978.0</v>
      </c>
      <c r="D110" s="102">
        <v>167385.0</v>
      </c>
      <c r="E110" s="59">
        <f>E109-98647</f>
        <v>77931.38</v>
      </c>
      <c r="F110" s="60"/>
      <c r="G110" s="50"/>
      <c r="H110" s="1"/>
      <c r="I110" s="38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50"/>
      <c r="B111" s="101">
        <v>42969.0</v>
      </c>
      <c r="C111" s="103">
        <v>42978.0</v>
      </c>
      <c r="D111" s="102">
        <v>167536.0</v>
      </c>
      <c r="E111" s="59">
        <f>E110-23317.6</f>
        <v>54613.78</v>
      </c>
      <c r="F111" s="60"/>
      <c r="G111" s="50"/>
      <c r="H111" s="1"/>
      <c r="I111" s="38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50"/>
      <c r="B112" s="101">
        <v>42969.0</v>
      </c>
      <c r="C112" s="103">
        <v>42978.0</v>
      </c>
      <c r="D112" s="102">
        <v>167403.0</v>
      </c>
      <c r="E112" s="59">
        <f>E111-27718.77</f>
        <v>26895.01</v>
      </c>
      <c r="F112" s="60"/>
      <c r="G112" s="50"/>
      <c r="H112" s="1"/>
      <c r="I112" s="38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50"/>
      <c r="B113" s="101">
        <v>42978.0</v>
      </c>
      <c r="C113" s="103">
        <v>42991.0</v>
      </c>
      <c r="D113" s="102">
        <v>168827.0</v>
      </c>
      <c r="E113" s="59">
        <f>E112-13939.2</f>
        <v>12955.81</v>
      </c>
      <c r="F113" s="60"/>
      <c r="G113" s="50"/>
      <c r="H113" s="1"/>
      <c r="I113" s="38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50"/>
      <c r="B114" s="101">
        <v>42954.0</v>
      </c>
      <c r="C114" s="103">
        <v>42962.0</v>
      </c>
      <c r="D114" s="102">
        <v>165818.0</v>
      </c>
      <c r="E114" s="59">
        <f>E113-2920.32</f>
        <v>10035.49</v>
      </c>
      <c r="F114" s="60"/>
      <c r="G114" s="50"/>
      <c r="H114" s="1"/>
      <c r="I114" s="38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50"/>
      <c r="B115" s="101">
        <v>42999.0</v>
      </c>
      <c r="C115" s="103">
        <v>43014.0</v>
      </c>
      <c r="D115" s="102">
        <v>171100.0</v>
      </c>
      <c r="E115" s="59">
        <f>E114-887.04</f>
        <v>9148.45</v>
      </c>
      <c r="F115" s="60"/>
      <c r="G115" s="50"/>
      <c r="H115" s="1"/>
      <c r="I115" s="38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50"/>
      <c r="B116" s="101">
        <v>43007.0</v>
      </c>
      <c r="C116" s="103">
        <v>43045.0</v>
      </c>
      <c r="D116" s="102">
        <v>172186.0</v>
      </c>
      <c r="E116" s="59">
        <f>E115-3024</f>
        <v>6124.45</v>
      </c>
      <c r="F116" s="60"/>
      <c r="G116" s="50"/>
      <c r="H116" s="1"/>
      <c r="I116" s="38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29" t="s">
        <v>274</v>
      </c>
      <c r="B117" s="31">
        <v>42720.0</v>
      </c>
      <c r="C117" s="32">
        <v>3036.0</v>
      </c>
      <c r="D117" s="29" t="s">
        <v>278</v>
      </c>
      <c r="E117" s="33">
        <v>233.1</v>
      </c>
      <c r="F117" s="34"/>
      <c r="G117" s="29" t="s">
        <v>279</v>
      </c>
      <c r="H117" s="12"/>
      <c r="I117" s="104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2.75" customHeight="1">
      <c r="A118" s="29"/>
      <c r="B118" s="31">
        <v>42990.0</v>
      </c>
      <c r="C118" s="109">
        <v>43014.0</v>
      </c>
      <c r="D118" s="29">
        <v>170052.0</v>
      </c>
      <c r="E118" s="33">
        <f>E117-159.84</f>
        <v>73.26</v>
      </c>
      <c r="F118" s="34"/>
      <c r="G118" s="29"/>
      <c r="H118" s="12"/>
      <c r="I118" s="104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2.75" customHeight="1">
      <c r="A119" s="44" t="s">
        <v>274</v>
      </c>
      <c r="B119" s="45">
        <v>42703.0</v>
      </c>
      <c r="C119" s="46">
        <v>3036.0</v>
      </c>
      <c r="D119" s="44" t="s">
        <v>329</v>
      </c>
      <c r="E119" s="47">
        <v>1475.0</v>
      </c>
      <c r="F119" s="48">
        <v>43026.0</v>
      </c>
      <c r="G119" s="44" t="s">
        <v>330</v>
      </c>
      <c r="H119" s="30" t="s">
        <v>22</v>
      </c>
      <c r="I119" s="15"/>
      <c r="J119" s="35"/>
      <c r="K119" s="35"/>
      <c r="L119" s="3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44"/>
      <c r="B120" s="99">
        <v>42824.0</v>
      </c>
      <c r="C120" s="46"/>
      <c r="D120" s="100">
        <v>151917.0</v>
      </c>
      <c r="E120" s="47">
        <f>E119-737.5</f>
        <v>737.5</v>
      </c>
      <c r="F120" s="48"/>
      <c r="G120" s="44"/>
      <c r="H120" s="67"/>
      <c r="I120" s="113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2.75" customHeight="1">
      <c r="A121" s="29" t="s">
        <v>333</v>
      </c>
      <c r="B121" s="31">
        <v>42667.0</v>
      </c>
      <c r="C121" s="32">
        <v>3022.0</v>
      </c>
      <c r="D121" s="29" t="s">
        <v>334</v>
      </c>
      <c r="E121" s="33">
        <v>4349.2</v>
      </c>
      <c r="F121" s="34"/>
      <c r="G121" s="29" t="s">
        <v>335</v>
      </c>
      <c r="H121" s="1"/>
      <c r="I121" s="15"/>
      <c r="J121" s="49"/>
      <c r="K121" s="49"/>
      <c r="L121" s="4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29"/>
      <c r="B122" s="31"/>
      <c r="C122" s="32"/>
      <c r="D122" s="29"/>
      <c r="E122" s="33">
        <f>E121-4349.2</f>
        <v>0</v>
      </c>
      <c r="F122" s="34"/>
      <c r="G122" s="29"/>
      <c r="H122" s="1"/>
      <c r="I122" s="51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12.75" customHeight="1">
      <c r="A123" s="29" t="s">
        <v>333</v>
      </c>
      <c r="B123" s="31">
        <v>42719.0</v>
      </c>
      <c r="C123" s="32">
        <v>3022.0</v>
      </c>
      <c r="D123" s="29" t="s">
        <v>338</v>
      </c>
      <c r="E123" s="33">
        <v>7295.0</v>
      </c>
      <c r="F123" s="34"/>
      <c r="G123" s="29" t="s">
        <v>339</v>
      </c>
      <c r="H123" s="12"/>
      <c r="I123" s="104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2.75" customHeight="1">
      <c r="A124" s="29"/>
      <c r="B124" s="31"/>
      <c r="C124" s="32"/>
      <c r="D124" s="29"/>
      <c r="E124" s="33">
        <f>E123-7295</f>
        <v>0</v>
      </c>
      <c r="F124" s="34"/>
      <c r="G124" s="29"/>
      <c r="H124" s="12"/>
      <c r="I124" s="104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2.75" customHeight="1">
      <c r="A125" s="44" t="s">
        <v>340</v>
      </c>
      <c r="B125" s="45">
        <v>42720.0</v>
      </c>
      <c r="C125" s="46">
        <v>3009.0</v>
      </c>
      <c r="D125" s="44" t="s">
        <v>341</v>
      </c>
      <c r="E125" s="47">
        <v>5052.5</v>
      </c>
      <c r="F125" s="48">
        <v>43017.0</v>
      </c>
      <c r="G125" s="44" t="s">
        <v>342</v>
      </c>
      <c r="H125" s="30" t="s">
        <v>22</v>
      </c>
      <c r="I125" s="1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44"/>
      <c r="B126" s="115">
        <v>42900.0</v>
      </c>
      <c r="C126" s="115">
        <v>42923.0</v>
      </c>
      <c r="D126" s="116">
        <v>591840.0</v>
      </c>
      <c r="E126" s="47">
        <f>E125-5026.5</f>
        <v>26</v>
      </c>
      <c r="F126" s="48"/>
      <c r="G126" s="44"/>
      <c r="H126" s="35"/>
      <c r="I126" s="38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29" t="s">
        <v>349</v>
      </c>
      <c r="B127" s="31">
        <v>42678.0</v>
      </c>
      <c r="C127" s="32">
        <v>3036.0</v>
      </c>
      <c r="D127" s="29" t="s">
        <v>351</v>
      </c>
      <c r="E127" s="33">
        <v>16295.0</v>
      </c>
      <c r="F127" s="34"/>
      <c r="G127" s="29" t="s">
        <v>359</v>
      </c>
      <c r="H127" s="1"/>
      <c r="I127" s="15"/>
      <c r="J127" s="35"/>
      <c r="K127" s="35"/>
      <c r="L127" s="3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29"/>
      <c r="B128" s="31"/>
      <c r="C128" s="32"/>
      <c r="D128" s="29"/>
      <c r="E128" s="33">
        <f>E127-1800</f>
        <v>14495</v>
      </c>
      <c r="F128" s="34"/>
      <c r="G128" s="29"/>
      <c r="H128" s="1"/>
      <c r="I128" s="38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29"/>
      <c r="B129" s="31"/>
      <c r="C129" s="32"/>
      <c r="D129" s="29"/>
      <c r="E129" s="33">
        <f>E128-8060</f>
        <v>6435</v>
      </c>
      <c r="F129" s="34"/>
      <c r="G129" s="29"/>
      <c r="H129" s="1"/>
      <c r="I129" s="38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29"/>
      <c r="B130" s="31"/>
      <c r="C130" s="32"/>
      <c r="D130" s="29"/>
      <c r="E130" s="33">
        <f>E129-6435</f>
        <v>0</v>
      </c>
      <c r="F130" s="34"/>
      <c r="G130" s="29"/>
      <c r="H130" s="1"/>
      <c r="I130" s="38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29" t="s">
        <v>349</v>
      </c>
      <c r="B131" s="31">
        <v>42720.0</v>
      </c>
      <c r="C131" s="32">
        <v>3036.0</v>
      </c>
      <c r="D131" s="29" t="s">
        <v>371</v>
      </c>
      <c r="E131" s="33">
        <v>5381.0</v>
      </c>
      <c r="F131" s="34"/>
      <c r="G131" s="29" t="s">
        <v>372</v>
      </c>
      <c r="H131" s="1"/>
      <c r="I131" s="15"/>
      <c r="J131" s="35"/>
      <c r="K131" s="35"/>
      <c r="L131" s="3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29"/>
      <c r="B132" s="31"/>
      <c r="C132" s="32"/>
      <c r="D132" s="29"/>
      <c r="E132" s="33">
        <f>E131-5381</f>
        <v>0</v>
      </c>
      <c r="F132" s="34"/>
      <c r="G132" s="29"/>
      <c r="H132" s="1"/>
      <c r="I132" s="15"/>
      <c r="J132" s="35"/>
      <c r="K132" s="35"/>
      <c r="L132" s="3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29" t="s">
        <v>349</v>
      </c>
      <c r="B133" s="31">
        <v>42720.0</v>
      </c>
      <c r="C133" s="32">
        <v>3036.0</v>
      </c>
      <c r="D133" s="29" t="s">
        <v>378</v>
      </c>
      <c r="E133" s="33">
        <v>22495.0</v>
      </c>
      <c r="F133" s="34"/>
      <c r="G133" s="29" t="s">
        <v>359</v>
      </c>
      <c r="H133" s="12"/>
      <c r="I133" s="104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2.75" customHeight="1">
      <c r="A134" s="29"/>
      <c r="B134" s="31">
        <v>42982.0</v>
      </c>
      <c r="C134" s="109">
        <v>42968.0</v>
      </c>
      <c r="D134" s="29">
        <v>432612.0</v>
      </c>
      <c r="E134" s="33">
        <f>E133-22495</f>
        <v>0</v>
      </c>
      <c r="F134" s="34"/>
      <c r="G134" s="29"/>
      <c r="H134" s="12"/>
      <c r="I134" s="104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2.75" customHeight="1">
      <c r="A135" s="29" t="s">
        <v>57</v>
      </c>
      <c r="B135" s="31">
        <v>42496.0</v>
      </c>
      <c r="C135" s="32">
        <v>3978.0</v>
      </c>
      <c r="D135" s="29" t="s">
        <v>379</v>
      </c>
      <c r="E135" s="33">
        <v>47588.69</v>
      </c>
      <c r="F135" s="34">
        <v>42862.0</v>
      </c>
      <c r="G135" s="29" t="s">
        <v>380</v>
      </c>
      <c r="H135" s="1"/>
      <c r="I135" s="15"/>
      <c r="J135" s="49"/>
      <c r="K135" s="49"/>
      <c r="L135" s="4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29"/>
      <c r="B136" s="31"/>
      <c r="C136" s="32"/>
      <c r="D136" s="29"/>
      <c r="E136" s="33">
        <f>E135-6574.34-10051.35</f>
        <v>30963</v>
      </c>
      <c r="F136" s="34"/>
      <c r="G136" s="29" t="s">
        <v>385</v>
      </c>
      <c r="H136" s="1"/>
      <c r="I136" s="51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12.75" customHeight="1">
      <c r="A137" s="29"/>
      <c r="B137" s="31"/>
      <c r="C137" s="32"/>
      <c r="D137" s="29"/>
      <c r="E137" s="33">
        <f>E136-7559.92</f>
        <v>23403.08</v>
      </c>
      <c r="F137" s="34"/>
      <c r="G137" s="29"/>
      <c r="H137" s="1"/>
      <c r="I137" s="51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12.75" customHeight="1">
      <c r="A138" s="29"/>
      <c r="B138" s="119">
        <v>42774.0</v>
      </c>
      <c r="C138" s="32"/>
      <c r="D138" s="120">
        <v>362631.0</v>
      </c>
      <c r="E138" s="33">
        <f>E137-8211.9</f>
        <v>15191.18</v>
      </c>
      <c r="F138" s="34"/>
      <c r="G138" s="29"/>
      <c r="H138" s="1"/>
      <c r="I138" s="51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12.75" customHeight="1">
      <c r="A139" s="29"/>
      <c r="B139" s="119">
        <v>42818.0</v>
      </c>
      <c r="C139" s="32"/>
      <c r="D139" s="120">
        <v>375551.0</v>
      </c>
      <c r="E139" s="33">
        <f>E138-6881.03</f>
        <v>8310.15</v>
      </c>
      <c r="F139" s="34"/>
      <c r="G139" s="29"/>
      <c r="H139" s="1"/>
      <c r="I139" s="51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12.75" customHeight="1">
      <c r="A140" s="29"/>
      <c r="B140" s="119">
        <v>42843.0</v>
      </c>
      <c r="C140" s="32"/>
      <c r="D140" s="120">
        <v>385561.0</v>
      </c>
      <c r="E140" s="33">
        <f>E139-8310.15</f>
        <v>0</v>
      </c>
      <c r="F140" s="34"/>
      <c r="G140" s="29"/>
      <c r="H140" s="1"/>
      <c r="I140" s="51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12.75" customHeight="1">
      <c r="A141" s="52" t="s">
        <v>401</v>
      </c>
      <c r="B141" s="53">
        <v>42529.0</v>
      </c>
      <c r="C141" s="54">
        <v>3978.0</v>
      </c>
      <c r="D141" s="52" t="s">
        <v>402</v>
      </c>
      <c r="E141" s="55">
        <v>2550.0</v>
      </c>
      <c r="F141" s="56">
        <v>42893.0</v>
      </c>
      <c r="G141" s="52" t="s">
        <v>403</v>
      </c>
      <c r="H141" s="1"/>
      <c r="I141" s="15"/>
      <c r="J141" s="35"/>
      <c r="K141" s="35"/>
      <c r="L141" s="3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21"/>
      <c r="B142" s="122">
        <v>42795.0</v>
      </c>
      <c r="C142" s="58"/>
      <c r="D142" s="123">
        <v>3951.0</v>
      </c>
      <c r="E142" s="59">
        <f t="shared" ref="E142:E143" si="2">E141-850</f>
        <v>1700</v>
      </c>
      <c r="F142" s="124"/>
      <c r="G142" s="121"/>
      <c r="H142" s="67"/>
      <c r="I142" s="113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2.75" customHeight="1">
      <c r="A143" s="121"/>
      <c r="B143" s="122">
        <v>42899.0</v>
      </c>
      <c r="C143" s="122">
        <v>42907.0</v>
      </c>
      <c r="D143" s="123">
        <v>4432.0</v>
      </c>
      <c r="E143" s="59">
        <f t="shared" si="2"/>
        <v>850</v>
      </c>
      <c r="F143" s="124"/>
      <c r="G143" s="121"/>
      <c r="H143" s="67"/>
      <c r="I143" s="113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2.75" customHeight="1">
      <c r="A144" s="29" t="s">
        <v>413</v>
      </c>
      <c r="B144" s="125">
        <v>42716.0</v>
      </c>
      <c r="C144" s="32">
        <v>3036.0</v>
      </c>
      <c r="D144" s="29" t="s">
        <v>414</v>
      </c>
      <c r="E144" s="33">
        <v>9500.0</v>
      </c>
      <c r="F144" s="34">
        <v>42897.0</v>
      </c>
      <c r="G144" s="29" t="s">
        <v>415</v>
      </c>
      <c r="H144" s="1"/>
      <c r="I144" s="1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29"/>
      <c r="B145" s="125"/>
      <c r="C145" s="32"/>
      <c r="D145" s="29"/>
      <c r="E145" s="33">
        <f>E144-9500</f>
        <v>0</v>
      </c>
      <c r="F145" s="34"/>
      <c r="G145" s="29"/>
      <c r="H145" s="1"/>
      <c r="I145" s="1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29" t="s">
        <v>416</v>
      </c>
      <c r="B146" s="31">
        <v>42458.0</v>
      </c>
      <c r="C146" s="32">
        <v>3007.0</v>
      </c>
      <c r="D146" s="29" t="s">
        <v>417</v>
      </c>
      <c r="E146" s="33">
        <v>6070.1</v>
      </c>
      <c r="F146" s="34">
        <v>42822.0</v>
      </c>
      <c r="G146" s="29" t="s">
        <v>418</v>
      </c>
      <c r="H146" s="1"/>
      <c r="I146" s="15"/>
      <c r="J146" s="49"/>
      <c r="K146" s="49"/>
      <c r="L146" s="4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29"/>
      <c r="B147" s="31"/>
      <c r="C147" s="32"/>
      <c r="D147" s="29"/>
      <c r="E147" s="33">
        <f>E146-2902.1-264</f>
        <v>2904</v>
      </c>
      <c r="F147" s="34"/>
      <c r="G147" s="29"/>
      <c r="H147" s="1"/>
      <c r="I147" s="51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12.75" customHeight="1">
      <c r="A148" s="29"/>
      <c r="B148" s="119">
        <v>42801.0</v>
      </c>
      <c r="C148" s="32"/>
      <c r="D148" s="120">
        <v>3335.0</v>
      </c>
      <c r="E148" s="33">
        <f>E147-2904</f>
        <v>0</v>
      </c>
      <c r="F148" s="34"/>
      <c r="G148" s="29"/>
      <c r="H148" s="1"/>
      <c r="I148" s="51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12.75" customHeight="1">
      <c r="A149" s="52" t="s">
        <v>416</v>
      </c>
      <c r="B149" s="53">
        <v>42720.0</v>
      </c>
      <c r="C149" s="54">
        <v>3007.0</v>
      </c>
      <c r="D149" s="52" t="s">
        <v>419</v>
      </c>
      <c r="E149" s="55">
        <v>16171.5</v>
      </c>
      <c r="F149" s="56">
        <v>43077.0</v>
      </c>
      <c r="G149" s="52" t="s">
        <v>420</v>
      </c>
      <c r="H149" s="1"/>
      <c r="I149" s="1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21"/>
      <c r="B150" s="122">
        <v>42913.0</v>
      </c>
      <c r="C150" s="122">
        <v>42923.0</v>
      </c>
      <c r="D150" s="123">
        <v>3624.0</v>
      </c>
      <c r="E150" s="59">
        <f>E149-16165.6</f>
        <v>5.9</v>
      </c>
      <c r="F150" s="124"/>
      <c r="G150" s="121"/>
      <c r="H150" s="67"/>
      <c r="I150" s="113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2.75" customHeight="1">
      <c r="A151" s="29" t="s">
        <v>421</v>
      </c>
      <c r="B151" s="31">
        <v>42685.0</v>
      </c>
      <c r="C151" s="32">
        <v>3016.0</v>
      </c>
      <c r="D151" s="29" t="s">
        <v>422</v>
      </c>
      <c r="E151" s="33">
        <v>3908.0</v>
      </c>
      <c r="F151" s="34" t="s">
        <v>423</v>
      </c>
      <c r="G151" s="29" t="s">
        <v>424</v>
      </c>
      <c r="H151" s="1"/>
      <c r="I151" s="15"/>
      <c r="J151" s="35"/>
      <c r="K151" s="35"/>
      <c r="L151" s="3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29"/>
      <c r="B152" s="31"/>
      <c r="C152" s="58"/>
      <c r="D152" s="29"/>
      <c r="E152" s="33">
        <f>E151-3908</f>
        <v>0</v>
      </c>
      <c r="F152" s="34"/>
      <c r="G152" s="29"/>
      <c r="H152" s="1"/>
      <c r="I152" s="38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29" t="s">
        <v>425</v>
      </c>
      <c r="B153" s="31">
        <v>42583.0</v>
      </c>
      <c r="C153" s="32">
        <v>3021.0</v>
      </c>
      <c r="D153" s="29" t="s">
        <v>426</v>
      </c>
      <c r="E153" s="33">
        <v>48278.0</v>
      </c>
      <c r="F153" s="34">
        <v>42944.0</v>
      </c>
      <c r="G153" s="29" t="s">
        <v>427</v>
      </c>
      <c r="H153" s="1"/>
      <c r="I153" s="15"/>
      <c r="J153" s="49"/>
      <c r="K153" s="49"/>
      <c r="L153" s="4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29"/>
      <c r="B154" s="31"/>
      <c r="C154" s="58"/>
      <c r="D154" s="29"/>
      <c r="E154" s="33">
        <f>E153-48278</f>
        <v>0</v>
      </c>
      <c r="F154" s="34"/>
      <c r="G154" s="29"/>
      <c r="H154" s="1"/>
      <c r="I154" s="51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12.75" customHeight="1">
      <c r="A155" s="52" t="s">
        <v>425</v>
      </c>
      <c r="B155" s="53">
        <v>42657.0</v>
      </c>
      <c r="C155" s="54">
        <v>3017.0</v>
      </c>
      <c r="D155" s="52" t="s">
        <v>428</v>
      </c>
      <c r="E155" s="55">
        <v>10965.0</v>
      </c>
      <c r="F155" s="56">
        <v>43003.0</v>
      </c>
      <c r="G155" s="52" t="s">
        <v>429</v>
      </c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50"/>
      <c r="B156" s="57"/>
      <c r="C156" s="58"/>
      <c r="D156" s="50"/>
      <c r="E156" s="59">
        <f>E155-255-210</f>
        <v>10500</v>
      </c>
      <c r="F156" s="60"/>
      <c r="G156" s="50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29" t="s">
        <v>77</v>
      </c>
      <c r="B157" s="31">
        <v>42460.0</v>
      </c>
      <c r="C157" s="32">
        <v>3950.0</v>
      </c>
      <c r="D157" s="29" t="s">
        <v>430</v>
      </c>
      <c r="E157" s="33">
        <v>0.0</v>
      </c>
      <c r="F157" s="34">
        <v>42711.0</v>
      </c>
      <c r="G157" s="29" t="s">
        <v>431</v>
      </c>
      <c r="H157" s="1"/>
      <c r="I157" s="15"/>
      <c r="J157" s="35"/>
      <c r="K157" s="35"/>
      <c r="L157" s="3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29" t="s">
        <v>77</v>
      </c>
      <c r="B158" s="31">
        <v>42614.0</v>
      </c>
      <c r="C158" s="32">
        <v>3950.0</v>
      </c>
      <c r="D158" s="29" t="s">
        <v>432</v>
      </c>
      <c r="E158" s="33">
        <v>1261640.35</v>
      </c>
      <c r="F158" s="34"/>
      <c r="G158" s="29" t="s">
        <v>433</v>
      </c>
      <c r="H158" s="1"/>
      <c r="I158" s="15"/>
      <c r="J158" s="35"/>
      <c r="K158" s="35"/>
      <c r="L158" s="3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29"/>
      <c r="B159" s="31"/>
      <c r="C159" s="32"/>
      <c r="D159" s="29"/>
      <c r="E159" s="33">
        <f>E158-469752.06</f>
        <v>791888.29</v>
      </c>
      <c r="F159" s="34"/>
      <c r="G159" s="29"/>
      <c r="H159" s="1"/>
      <c r="I159" s="38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29" t="s">
        <v>77</v>
      </c>
      <c r="B160" s="31">
        <v>42712.0</v>
      </c>
      <c r="C160" s="32">
        <v>3950.0</v>
      </c>
      <c r="D160" s="29" t="s">
        <v>434</v>
      </c>
      <c r="E160" s="33">
        <v>300000.0</v>
      </c>
      <c r="F160" s="34"/>
      <c r="G160" s="29" t="s">
        <v>435</v>
      </c>
      <c r="H160" s="1"/>
      <c r="I160" s="38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29"/>
      <c r="B161" s="31"/>
      <c r="C161" s="32"/>
      <c r="D161" s="29"/>
      <c r="E161" s="33">
        <f>(E159+E160)-501215.23</f>
        <v>590673.06</v>
      </c>
      <c r="F161" s="34"/>
      <c r="G161" s="29"/>
      <c r="H161" s="1"/>
      <c r="I161" s="51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12.75" customHeight="1">
      <c r="A162" s="29"/>
      <c r="B162" s="31"/>
      <c r="C162" s="32"/>
      <c r="D162" s="29"/>
      <c r="E162" s="33">
        <f>E161-275225.99</f>
        <v>315447.07</v>
      </c>
      <c r="F162" s="34"/>
      <c r="G162" s="29"/>
      <c r="H162" s="1"/>
      <c r="I162" s="51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12.75" customHeight="1">
      <c r="A163" s="29"/>
      <c r="B163" s="31"/>
      <c r="C163" s="32"/>
      <c r="D163" s="29"/>
      <c r="E163" s="33">
        <f>E162-151810.48</f>
        <v>163636.59</v>
      </c>
      <c r="F163" s="34"/>
      <c r="G163" s="29"/>
      <c r="H163" s="1"/>
      <c r="I163" s="51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2.75" customHeight="1">
      <c r="A164" s="12"/>
      <c r="B164" s="119">
        <v>42793.0</v>
      </c>
      <c r="C164" s="32"/>
      <c r="D164" s="120">
        <v>20450.0</v>
      </c>
      <c r="E164" s="126">
        <f>E163-163636.59</f>
        <v>0</v>
      </c>
      <c r="F164" s="12"/>
      <c r="G164" s="12"/>
      <c r="H164" s="1"/>
      <c r="I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5"/>
      <c r="D165" s="1"/>
      <c r="E165" s="127"/>
      <c r="F165" s="1"/>
      <c r="G165" s="1"/>
      <c r="H165" s="1"/>
      <c r="I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52" t="s">
        <v>436</v>
      </c>
      <c r="B166" s="53">
        <v>42522.0</v>
      </c>
      <c r="C166" s="54">
        <v>3950.0</v>
      </c>
      <c r="D166" s="52" t="s">
        <v>437</v>
      </c>
      <c r="E166" s="55">
        <v>141842.04</v>
      </c>
      <c r="F166" s="56">
        <v>42842.0</v>
      </c>
      <c r="G166" s="52" t="s">
        <v>438</v>
      </c>
      <c r="H166" s="1"/>
      <c r="I166" s="15"/>
      <c r="J166" s="49"/>
      <c r="K166" s="49"/>
      <c r="L166" s="4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50"/>
      <c r="B167" s="57"/>
      <c r="C167" s="58"/>
      <c r="D167" s="50"/>
      <c r="E167" s="59">
        <f>E166-56609.17-40967.03</f>
        <v>44265.84</v>
      </c>
      <c r="F167" s="60"/>
      <c r="G167" s="50"/>
      <c r="H167" s="1"/>
      <c r="I167" s="51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2.75" customHeight="1">
      <c r="A168" s="50"/>
      <c r="B168" s="57"/>
      <c r="C168" s="58"/>
      <c r="D168" s="50"/>
      <c r="E168" s="59">
        <v>1916.37</v>
      </c>
      <c r="F168" s="60"/>
      <c r="G168" s="50"/>
      <c r="H168" s="1"/>
      <c r="I168" s="51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2.75" customHeight="1">
      <c r="A169" s="29" t="s">
        <v>439</v>
      </c>
      <c r="B169" s="31">
        <v>42720.0</v>
      </c>
      <c r="C169" s="32">
        <v>3036.0</v>
      </c>
      <c r="D169" s="29" t="s">
        <v>440</v>
      </c>
      <c r="E169" s="33">
        <v>1840.0</v>
      </c>
      <c r="F169" s="34">
        <v>43046.0</v>
      </c>
      <c r="G169" s="29" t="s">
        <v>441</v>
      </c>
      <c r="H169" s="12"/>
      <c r="I169" s="104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2.75" customHeight="1">
      <c r="A170" s="29"/>
      <c r="B170" s="31">
        <v>42992.0</v>
      </c>
      <c r="C170" s="109">
        <v>43005.0</v>
      </c>
      <c r="D170" s="29">
        <v>19557.0</v>
      </c>
      <c r="E170" s="33">
        <f>E169-1840</f>
        <v>0</v>
      </c>
      <c r="F170" s="34"/>
      <c r="G170" s="29"/>
      <c r="H170" s="12"/>
      <c r="I170" s="104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2.75" customHeight="1">
      <c r="A171" s="29" t="s">
        <v>439</v>
      </c>
      <c r="B171" s="31">
        <v>42716.0</v>
      </c>
      <c r="C171" s="32">
        <v>3036.0</v>
      </c>
      <c r="D171" s="29" t="s">
        <v>442</v>
      </c>
      <c r="E171" s="33">
        <v>747.5</v>
      </c>
      <c r="F171" s="34">
        <v>43046.0</v>
      </c>
      <c r="G171" s="29" t="s">
        <v>441</v>
      </c>
      <c r="H171" s="1"/>
      <c r="I171" s="1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29"/>
      <c r="B172" s="119">
        <v>42815.0</v>
      </c>
      <c r="C172" s="32"/>
      <c r="D172" s="120">
        <v>18139.0</v>
      </c>
      <c r="E172" s="33">
        <f>E171-747.5</f>
        <v>0</v>
      </c>
      <c r="F172" s="34"/>
      <c r="G172" s="29"/>
      <c r="H172" s="1"/>
      <c r="I172" s="1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29" t="s">
        <v>443</v>
      </c>
      <c r="B173" s="31">
        <v>42644.0</v>
      </c>
      <c r="C173" s="32">
        <v>3036.0</v>
      </c>
      <c r="D173" s="29" t="s">
        <v>444</v>
      </c>
      <c r="E173" s="33">
        <v>67095.66</v>
      </c>
      <c r="F173" s="34">
        <v>42998.0</v>
      </c>
      <c r="G173" s="29" t="s">
        <v>445</v>
      </c>
      <c r="H173" s="12"/>
      <c r="I173" s="104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2.75" customHeight="1">
      <c r="A174" s="29"/>
      <c r="B174" s="31"/>
      <c r="C174" s="32"/>
      <c r="D174" s="29"/>
      <c r="E174" s="33">
        <f>E173-26400-9996</f>
        <v>30699.66</v>
      </c>
      <c r="F174" s="34"/>
      <c r="G174" s="29"/>
      <c r="H174" s="12"/>
      <c r="I174" s="104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2.75" customHeight="1">
      <c r="A175" s="29"/>
      <c r="B175" s="31"/>
      <c r="C175" s="32"/>
      <c r="D175" s="29"/>
      <c r="E175" s="33">
        <f>E174-3406.6</f>
        <v>27293.06</v>
      </c>
      <c r="F175" s="34"/>
      <c r="G175" s="29"/>
      <c r="H175" s="12"/>
      <c r="I175" s="104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2.75" customHeight="1">
      <c r="A176" s="29"/>
      <c r="B176" s="119">
        <v>42781.0</v>
      </c>
      <c r="C176" s="32"/>
      <c r="D176" s="120">
        <v>3494.0</v>
      </c>
      <c r="E176" s="33">
        <f>E175-528.44</f>
        <v>26764.62</v>
      </c>
      <c r="F176" s="34"/>
      <c r="G176" s="29"/>
      <c r="H176" s="12"/>
      <c r="I176" s="104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2.75" customHeight="1">
      <c r="A177" s="29"/>
      <c r="B177" s="119">
        <v>42801.0</v>
      </c>
      <c r="C177" s="32"/>
      <c r="D177" s="120">
        <v>3661.0</v>
      </c>
      <c r="E177" s="33">
        <f>E176-264.22</f>
        <v>26500.4</v>
      </c>
      <c r="F177" s="34"/>
      <c r="G177" s="29"/>
      <c r="H177" s="12"/>
      <c r="I177" s="104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2.75" customHeight="1">
      <c r="A178" s="29"/>
      <c r="B178" s="119">
        <v>42866.0</v>
      </c>
      <c r="C178" s="119">
        <v>42874.0</v>
      </c>
      <c r="D178" s="120">
        <v>4258.0</v>
      </c>
      <c r="E178" s="33">
        <f>E177-1729.44</f>
        <v>24770.96</v>
      </c>
      <c r="F178" s="34"/>
      <c r="G178" s="29"/>
      <c r="H178" s="12"/>
      <c r="I178" s="104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2.75" customHeight="1">
      <c r="A179" s="29"/>
      <c r="B179" s="119">
        <v>42885.0</v>
      </c>
      <c r="C179" s="119">
        <v>42887.0</v>
      </c>
      <c r="D179" s="120">
        <v>4471.0</v>
      </c>
      <c r="E179" s="33">
        <f>E178-4301.5</f>
        <v>20469.46</v>
      </c>
      <c r="F179" s="34"/>
      <c r="G179" s="29"/>
      <c r="H179" s="12"/>
      <c r="I179" s="104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2.75" customHeight="1">
      <c r="A180" s="29"/>
      <c r="B180" s="119">
        <v>42971.0</v>
      </c>
      <c r="C180" s="119">
        <v>43017.0</v>
      </c>
      <c r="D180" s="120">
        <v>5232.0</v>
      </c>
      <c r="E180" s="33">
        <f>E179-20469.39</f>
        <v>0.07000000001</v>
      </c>
      <c r="F180" s="34"/>
      <c r="G180" s="29"/>
      <c r="H180" s="12"/>
      <c r="I180" s="104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2.75" customHeight="1">
      <c r="A181" s="29" t="s">
        <v>443</v>
      </c>
      <c r="B181" s="31">
        <v>42720.0</v>
      </c>
      <c r="C181" s="32">
        <v>3036.0</v>
      </c>
      <c r="D181" s="29" t="s">
        <v>451</v>
      </c>
      <c r="E181" s="33">
        <v>2230.0</v>
      </c>
      <c r="F181" s="34"/>
      <c r="G181" s="29" t="s">
        <v>452</v>
      </c>
      <c r="H181" s="1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29"/>
      <c r="B182" s="119">
        <v>42783.0</v>
      </c>
      <c r="C182" s="32"/>
      <c r="D182" s="120">
        <v>3528.0</v>
      </c>
      <c r="E182" s="33">
        <f>E181-2230</f>
        <v>0</v>
      </c>
      <c r="F182" s="34"/>
      <c r="G182" s="29"/>
      <c r="H182" s="1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29" t="s">
        <v>443</v>
      </c>
      <c r="B183" s="31">
        <v>42720.0</v>
      </c>
      <c r="C183" s="32">
        <v>3036.0</v>
      </c>
      <c r="D183" s="29" t="s">
        <v>453</v>
      </c>
      <c r="E183" s="33">
        <v>7638.0</v>
      </c>
      <c r="F183" s="34">
        <v>43046.0</v>
      </c>
      <c r="G183" s="29" t="s">
        <v>441</v>
      </c>
      <c r="H183" s="1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29"/>
      <c r="B184" s="119">
        <v>42867.0</v>
      </c>
      <c r="C184" s="119">
        <v>42874.0</v>
      </c>
      <c r="D184" s="120">
        <v>4273.0</v>
      </c>
      <c r="E184" s="33">
        <f>E183-7638</f>
        <v>0</v>
      </c>
      <c r="F184" s="34"/>
      <c r="G184" s="29"/>
      <c r="H184" s="1"/>
      <c r="I184" s="38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29" t="s">
        <v>443</v>
      </c>
      <c r="B185" s="31">
        <v>42716.0</v>
      </c>
      <c r="C185" s="32">
        <v>3036.0</v>
      </c>
      <c r="D185" s="29" t="s">
        <v>454</v>
      </c>
      <c r="E185" s="33">
        <v>2108.65</v>
      </c>
      <c r="F185" s="34">
        <v>43046.0</v>
      </c>
      <c r="G185" s="29" t="s">
        <v>441</v>
      </c>
      <c r="H185" s="1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29"/>
      <c r="B186" s="119">
        <v>42822.0</v>
      </c>
      <c r="C186" s="32"/>
      <c r="D186" s="120">
        <v>3883.0</v>
      </c>
      <c r="E186" s="33">
        <f>E185-2108.65</f>
        <v>0</v>
      </c>
      <c r="F186" s="34"/>
      <c r="G186" s="29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29" t="s">
        <v>455</v>
      </c>
      <c r="B187" s="31">
        <v>42718.0</v>
      </c>
      <c r="C187" s="32">
        <v>3036.0</v>
      </c>
      <c r="D187" s="29" t="s">
        <v>456</v>
      </c>
      <c r="E187" s="33">
        <v>9851.85</v>
      </c>
      <c r="F187" s="34"/>
      <c r="G187" s="29" t="s">
        <v>457</v>
      </c>
      <c r="H187" s="1"/>
      <c r="I187" s="15"/>
      <c r="J187" s="35"/>
      <c r="K187" s="35"/>
      <c r="L187" s="3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29"/>
      <c r="B188" s="31"/>
      <c r="C188" s="32"/>
      <c r="D188" s="29"/>
      <c r="E188" s="33">
        <f>E187-9851.85</f>
        <v>0</v>
      </c>
      <c r="F188" s="34"/>
      <c r="G188" s="29"/>
      <c r="H188" s="1"/>
      <c r="I188" s="15"/>
      <c r="J188" s="35"/>
      <c r="K188" s="35"/>
      <c r="L188" s="3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29" t="s">
        <v>455</v>
      </c>
      <c r="B189" s="31">
        <v>42720.0</v>
      </c>
      <c r="C189" s="32">
        <v>3036.0</v>
      </c>
      <c r="D189" s="29" t="s">
        <v>458</v>
      </c>
      <c r="E189" s="33">
        <v>460.0</v>
      </c>
      <c r="F189" s="34"/>
      <c r="G189" s="29" t="s">
        <v>279</v>
      </c>
      <c r="H189" s="12"/>
      <c r="I189" s="104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2.75" customHeight="1">
      <c r="A190" s="29"/>
      <c r="B190" s="31">
        <v>42965.0</v>
      </c>
      <c r="C190" s="109">
        <v>42978.0</v>
      </c>
      <c r="D190" s="29">
        <v>856981.0</v>
      </c>
      <c r="E190" s="33">
        <f>E189-460</f>
        <v>0</v>
      </c>
      <c r="F190" s="34"/>
      <c r="G190" s="29"/>
      <c r="H190" s="12"/>
      <c r="I190" s="104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2.75" customHeight="1">
      <c r="A191" s="29" t="s">
        <v>455</v>
      </c>
      <c r="B191" s="31">
        <v>42720.0</v>
      </c>
      <c r="C191" s="32">
        <v>3036.0</v>
      </c>
      <c r="D191" s="29" t="s">
        <v>459</v>
      </c>
      <c r="E191" s="33">
        <v>925.0</v>
      </c>
      <c r="F191" s="34"/>
      <c r="G191" s="29" t="s">
        <v>460</v>
      </c>
      <c r="H191" s="1"/>
      <c r="I191" s="15"/>
      <c r="J191" s="35"/>
      <c r="K191" s="35"/>
      <c r="L191" s="3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29"/>
      <c r="B192" s="119">
        <v>42865.0</v>
      </c>
      <c r="C192" s="119">
        <v>42874.0</v>
      </c>
      <c r="D192" s="120">
        <v>818605.0</v>
      </c>
      <c r="E192" s="33">
        <f>E191-925</f>
        <v>0</v>
      </c>
      <c r="F192" s="34"/>
      <c r="G192" s="29"/>
      <c r="H192" s="1"/>
      <c r="I192" s="38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29" t="s">
        <v>461</v>
      </c>
      <c r="B193" s="31">
        <v>42465.0</v>
      </c>
      <c r="C193" s="32">
        <v>3950.0</v>
      </c>
      <c r="D193" s="29" t="s">
        <v>462</v>
      </c>
      <c r="E193" s="33">
        <v>4472.0</v>
      </c>
      <c r="F193" s="34">
        <v>42825.0</v>
      </c>
      <c r="G193" s="29" t="s">
        <v>463</v>
      </c>
      <c r="H193" s="1"/>
      <c r="I193" s="15"/>
      <c r="J193" s="49"/>
      <c r="K193" s="49"/>
      <c r="L193" s="4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29"/>
      <c r="B194" s="31"/>
      <c r="C194" s="32"/>
      <c r="D194" s="29"/>
      <c r="E194" s="33">
        <f>E193-4472</f>
        <v>0</v>
      </c>
      <c r="F194" s="34"/>
      <c r="G194" s="29"/>
      <c r="H194" s="1"/>
      <c r="I194" s="51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2.75" customHeight="1">
      <c r="A195" s="29" t="s">
        <v>461</v>
      </c>
      <c r="B195" s="31">
        <v>42544.0</v>
      </c>
      <c r="C195" s="32">
        <v>3950.0</v>
      </c>
      <c r="D195" s="29" t="s">
        <v>464</v>
      </c>
      <c r="E195" s="33">
        <v>189072.0</v>
      </c>
      <c r="F195" s="34"/>
      <c r="G195" s="29" t="s">
        <v>465</v>
      </c>
      <c r="H195" s="1"/>
      <c r="I195" s="15"/>
      <c r="J195" s="49"/>
      <c r="K195" s="49"/>
      <c r="L195" s="4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29"/>
      <c r="B196" s="31"/>
      <c r="C196" s="32"/>
      <c r="D196" s="29"/>
      <c r="E196" s="33">
        <f>E195-55200</f>
        <v>133872</v>
      </c>
      <c r="F196" s="34"/>
      <c r="G196" s="29"/>
      <c r="H196" s="1"/>
      <c r="I196" s="51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2.75" customHeight="1">
      <c r="A197" s="29"/>
      <c r="B197" s="31"/>
      <c r="C197" s="32"/>
      <c r="D197" s="29"/>
      <c r="E197" s="33">
        <f>E196-69400</f>
        <v>64472</v>
      </c>
      <c r="F197" s="34"/>
      <c r="G197" s="29"/>
      <c r="H197" s="1"/>
      <c r="I197" s="51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2.75" customHeight="1">
      <c r="A198" s="29"/>
      <c r="B198" s="31"/>
      <c r="C198" s="32"/>
      <c r="D198" s="29"/>
      <c r="E198" s="33">
        <f>E197-8400</f>
        <v>56072</v>
      </c>
      <c r="F198" s="34"/>
      <c r="G198" s="29"/>
      <c r="H198" s="1"/>
      <c r="I198" s="51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2.75" customHeight="1">
      <c r="A199" s="29"/>
      <c r="B199" s="130">
        <v>42767.0</v>
      </c>
      <c r="C199" s="32"/>
      <c r="D199" s="135">
        <v>2003.0</v>
      </c>
      <c r="E199" s="33">
        <f>E198-56072</f>
        <v>0</v>
      </c>
      <c r="F199" s="34"/>
      <c r="G199" s="29"/>
      <c r="H199" s="1"/>
      <c r="I199" s="51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2.75" customHeight="1">
      <c r="A200" s="29" t="s">
        <v>461</v>
      </c>
      <c r="B200" s="31">
        <v>42712.0</v>
      </c>
      <c r="C200" s="32">
        <v>3950.0</v>
      </c>
      <c r="D200" s="29" t="s">
        <v>482</v>
      </c>
      <c r="E200" s="33">
        <v>100000.0</v>
      </c>
      <c r="F200" s="34">
        <v>42825.0</v>
      </c>
      <c r="G200" s="29" t="s">
        <v>465</v>
      </c>
      <c r="H200" s="1"/>
      <c r="I200" s="15"/>
      <c r="J200" s="49"/>
      <c r="K200" s="49"/>
      <c r="L200" s="4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29"/>
      <c r="B201" s="130">
        <v>42767.0</v>
      </c>
      <c r="C201" s="32"/>
      <c r="D201" s="135">
        <v>2003.0</v>
      </c>
      <c r="E201" s="33">
        <f>E200-18328</f>
        <v>81672</v>
      </c>
      <c r="F201" s="34"/>
      <c r="G201" s="29"/>
      <c r="H201" s="1"/>
      <c r="I201" s="15"/>
      <c r="J201" s="49"/>
      <c r="K201" s="49"/>
      <c r="L201" s="4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29"/>
      <c r="B202" s="130">
        <v>42797.0</v>
      </c>
      <c r="C202" s="32"/>
      <c r="D202" s="135">
        <v>2028.0</v>
      </c>
      <c r="E202" s="33">
        <f>E201-67200</f>
        <v>14472</v>
      </c>
      <c r="F202" s="34"/>
      <c r="G202" s="29"/>
      <c r="H202" s="1"/>
      <c r="I202" s="15"/>
      <c r="J202" s="49"/>
      <c r="K202" s="49"/>
      <c r="L202" s="4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29"/>
      <c r="B203" s="130">
        <v>42828.0</v>
      </c>
      <c r="C203" s="32"/>
      <c r="D203" s="135">
        <v>2069.0</v>
      </c>
      <c r="E203" s="33">
        <f>E202-14472</f>
        <v>0</v>
      </c>
      <c r="F203" s="34"/>
      <c r="G203" s="29"/>
      <c r="H203" s="1"/>
      <c r="I203" s="15"/>
      <c r="J203" s="49"/>
      <c r="K203" s="49"/>
      <c r="L203" s="4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29" t="s">
        <v>85</v>
      </c>
      <c r="B204" s="31">
        <v>42460.0</v>
      </c>
      <c r="C204" s="32">
        <v>3950.0</v>
      </c>
      <c r="D204" s="29" t="s">
        <v>483</v>
      </c>
      <c r="E204" s="33">
        <v>60614.71</v>
      </c>
      <c r="F204" s="34">
        <v>42711.0</v>
      </c>
      <c r="G204" s="29" t="s">
        <v>484</v>
      </c>
      <c r="H204" s="1"/>
      <c r="I204" s="15"/>
      <c r="J204" s="35"/>
      <c r="K204" s="35"/>
      <c r="L204" s="3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29"/>
      <c r="B205" s="31"/>
      <c r="C205" s="32"/>
      <c r="D205" s="29"/>
      <c r="E205" s="33">
        <v>18675.86</v>
      </c>
      <c r="F205" s="34" t="s">
        <v>32</v>
      </c>
      <c r="G205" s="29"/>
      <c r="H205" s="1"/>
      <c r="I205" s="38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29"/>
      <c r="B206" s="31"/>
      <c r="C206" s="32"/>
      <c r="D206" s="29"/>
      <c r="E206" s="33">
        <f>E205-E205</f>
        <v>0</v>
      </c>
      <c r="F206" s="34"/>
      <c r="G206" s="29"/>
      <c r="H206" s="1"/>
      <c r="I206" s="38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29" t="s">
        <v>85</v>
      </c>
      <c r="B207" s="31">
        <v>42528.0</v>
      </c>
      <c r="C207" s="32">
        <v>3950.0</v>
      </c>
      <c r="D207" s="29" t="s">
        <v>485</v>
      </c>
      <c r="E207" s="33">
        <v>97830.57</v>
      </c>
      <c r="F207" s="34"/>
      <c r="G207" s="29" t="s">
        <v>486</v>
      </c>
      <c r="H207" s="1"/>
      <c r="I207" s="15"/>
      <c r="J207" s="35"/>
      <c r="K207" s="35"/>
      <c r="L207" s="3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29"/>
      <c r="B208" s="31"/>
      <c r="C208" s="32"/>
      <c r="D208" s="29"/>
      <c r="E208" s="33">
        <f>E207-64410.17</f>
        <v>33420.4</v>
      </c>
      <c r="F208" s="34"/>
      <c r="G208" s="29"/>
      <c r="H208" s="1"/>
      <c r="I208" s="38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29"/>
      <c r="B209" s="31"/>
      <c r="C209" s="32"/>
      <c r="D209" s="29"/>
      <c r="E209" s="33">
        <f>E208-28005.51</f>
        <v>5414.89</v>
      </c>
      <c r="F209" s="34"/>
      <c r="G209" s="29"/>
      <c r="H209" s="1"/>
      <c r="I209" s="38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29"/>
      <c r="B210" s="136">
        <v>42776.0</v>
      </c>
      <c r="C210" s="32"/>
      <c r="D210" s="137">
        <v>93012.0</v>
      </c>
      <c r="E210" s="33">
        <f>E209-5414.89</f>
        <v>0</v>
      </c>
      <c r="F210" s="34"/>
      <c r="G210" s="29"/>
      <c r="H210" s="1"/>
      <c r="I210" s="38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29" t="s">
        <v>85</v>
      </c>
      <c r="B211" s="31">
        <v>42558.0</v>
      </c>
      <c r="C211" s="32">
        <v>3950.0</v>
      </c>
      <c r="D211" s="29" t="s">
        <v>487</v>
      </c>
      <c r="E211" s="33">
        <v>99999.98</v>
      </c>
      <c r="F211" s="34"/>
      <c r="G211" s="29" t="s">
        <v>488</v>
      </c>
      <c r="H211" s="1"/>
      <c r="I211" s="15"/>
      <c r="J211" s="35"/>
      <c r="K211" s="35"/>
      <c r="L211" s="3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29"/>
      <c r="B212" s="31"/>
      <c r="C212" s="32"/>
      <c r="D212" s="29"/>
      <c r="E212" s="33">
        <f>E211-63781.01</f>
        <v>36218.97</v>
      </c>
      <c r="F212" s="34"/>
      <c r="G212" s="29"/>
      <c r="H212" s="1"/>
      <c r="I212" s="38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29"/>
      <c r="B213" s="136">
        <v>42776.0</v>
      </c>
      <c r="C213" s="32"/>
      <c r="D213" s="137">
        <v>93013.0</v>
      </c>
      <c r="E213" s="33">
        <f>E212-3935.61</f>
        <v>32283.36</v>
      </c>
      <c r="F213" s="34"/>
      <c r="G213" s="29"/>
      <c r="H213" s="1"/>
      <c r="I213" s="38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29"/>
      <c r="B214" s="136">
        <v>42809.0</v>
      </c>
      <c r="C214" s="32"/>
      <c r="D214" s="137">
        <v>94297.0</v>
      </c>
      <c r="E214" s="33">
        <f>E213-30910</f>
        <v>1373.36</v>
      </c>
      <c r="F214" s="34"/>
      <c r="G214" s="29"/>
      <c r="H214" s="1"/>
      <c r="I214" s="38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29"/>
      <c r="B215" s="136">
        <v>42845.0</v>
      </c>
      <c r="C215" s="32"/>
      <c r="D215" s="137">
        <v>95681.0</v>
      </c>
      <c r="E215" s="33">
        <f>E214-1373.36</f>
        <v>0</v>
      </c>
      <c r="F215" s="34"/>
      <c r="G215" s="29"/>
      <c r="H215" s="1"/>
      <c r="I215" s="38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29" t="s">
        <v>85</v>
      </c>
      <c r="B216" s="31">
        <v>42583.0</v>
      </c>
      <c r="C216" s="32">
        <v>3950.0</v>
      </c>
      <c r="D216" s="29" t="s">
        <v>489</v>
      </c>
      <c r="E216" s="33">
        <v>78328.76</v>
      </c>
      <c r="F216" s="34"/>
      <c r="G216" s="29" t="s">
        <v>490</v>
      </c>
      <c r="H216" s="1"/>
      <c r="I216" s="15"/>
      <c r="J216" s="35"/>
      <c r="K216" s="35"/>
      <c r="L216" s="3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29"/>
      <c r="B217" s="136">
        <v>42845.0</v>
      </c>
      <c r="C217" s="32"/>
      <c r="D217" s="137">
        <v>95681.0</v>
      </c>
      <c r="E217" s="33">
        <f>E216-78328.76</f>
        <v>0</v>
      </c>
      <c r="F217" s="34"/>
      <c r="G217" s="29"/>
      <c r="H217" s="1"/>
      <c r="I217" s="38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29" t="s">
        <v>85</v>
      </c>
      <c r="B218" s="31">
        <v>42712.0</v>
      </c>
      <c r="C218" s="32">
        <v>3950.0</v>
      </c>
      <c r="D218" s="29" t="s">
        <v>491</v>
      </c>
      <c r="E218" s="33">
        <v>300000.0</v>
      </c>
      <c r="F218" s="34"/>
      <c r="G218" s="29" t="s">
        <v>486</v>
      </c>
      <c r="H218" s="1"/>
      <c r="I218" s="15"/>
      <c r="J218" s="35"/>
      <c r="K218" s="35"/>
      <c r="L218" s="3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29" t="s">
        <v>85</v>
      </c>
      <c r="B219" s="31">
        <v>42712.0</v>
      </c>
      <c r="C219" s="32">
        <v>3950.0</v>
      </c>
      <c r="D219" s="29" t="s">
        <v>492</v>
      </c>
      <c r="E219" s="33">
        <v>235000.0</v>
      </c>
      <c r="F219" s="34">
        <v>43076.0</v>
      </c>
      <c r="G219" s="29" t="s">
        <v>493</v>
      </c>
      <c r="H219" s="12" t="s">
        <v>13</v>
      </c>
      <c r="I219" s="104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2.75" customHeight="1">
      <c r="A220" s="29"/>
      <c r="B220" s="136">
        <v>42954.0</v>
      </c>
      <c r="C220" s="109">
        <v>42962.0</v>
      </c>
      <c r="D220" s="137">
        <v>99708.0</v>
      </c>
      <c r="E220" s="33">
        <f>E219-128388.8</f>
        <v>106611.2</v>
      </c>
      <c r="F220" s="34"/>
      <c r="G220" s="29"/>
      <c r="H220" s="12"/>
      <c r="I220" s="104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2.75" customHeight="1">
      <c r="A221" s="29"/>
      <c r="B221" s="136">
        <v>42998.0</v>
      </c>
      <c r="C221" s="109">
        <v>43003.0</v>
      </c>
      <c r="D221" s="137">
        <v>101091.0</v>
      </c>
      <c r="E221" s="33">
        <f>E220-E220</f>
        <v>0</v>
      </c>
      <c r="F221" s="34"/>
      <c r="G221" s="29"/>
      <c r="H221" s="12"/>
      <c r="I221" s="104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2.75" customHeight="1">
      <c r="A222" s="29" t="s">
        <v>107</v>
      </c>
      <c r="B222" s="31">
        <v>42583.0</v>
      </c>
      <c r="C222" s="32">
        <v>3950.0</v>
      </c>
      <c r="D222" s="29" t="s">
        <v>494</v>
      </c>
      <c r="E222" s="33">
        <v>404218.41</v>
      </c>
      <c r="F222" s="34">
        <v>42935.0</v>
      </c>
      <c r="G222" s="29" t="s">
        <v>495</v>
      </c>
      <c r="H222" s="1"/>
      <c r="I222" s="15"/>
      <c r="J222" s="49"/>
      <c r="K222" s="49"/>
      <c r="L222" s="4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29"/>
      <c r="B223" s="31"/>
      <c r="C223" s="32"/>
      <c r="D223" s="29"/>
      <c r="E223" s="33">
        <f>E222-81678.72</f>
        <v>322539.69</v>
      </c>
      <c r="F223" s="34"/>
      <c r="G223" s="29"/>
      <c r="H223" s="1"/>
      <c r="I223" s="51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2.75" customHeight="1">
      <c r="A224" s="29"/>
      <c r="B224" s="31"/>
      <c r="C224" s="32"/>
      <c r="D224" s="29"/>
      <c r="E224" s="33">
        <v>244085.09</v>
      </c>
      <c r="F224" s="34"/>
      <c r="G224" s="29"/>
      <c r="H224" s="1"/>
      <c r="I224" s="51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2.75" customHeight="1">
      <c r="A225" s="29"/>
      <c r="B225" s="31"/>
      <c r="C225" s="32"/>
      <c r="D225" s="29"/>
      <c r="E225" s="33">
        <f>E224-81378.72</f>
        <v>162706.37</v>
      </c>
      <c r="F225" s="34"/>
      <c r="G225" s="29"/>
      <c r="H225" s="1"/>
      <c r="I225" s="51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2.75" customHeight="1">
      <c r="A226" s="29"/>
      <c r="B226" s="119">
        <v>42775.0</v>
      </c>
      <c r="C226" s="32"/>
      <c r="D226" s="120">
        <v>1093.0</v>
      </c>
      <c r="E226" s="33">
        <f>E225-81378.82</f>
        <v>81327.55</v>
      </c>
      <c r="F226" s="34"/>
      <c r="G226" s="29"/>
      <c r="H226" s="1"/>
      <c r="I226" s="51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2.75" customHeight="1">
      <c r="A227" s="29"/>
      <c r="B227" s="119">
        <v>42800.0</v>
      </c>
      <c r="C227" s="32"/>
      <c r="D227" s="120">
        <v>1110.0</v>
      </c>
      <c r="E227" s="33">
        <f>E226-73503.36</f>
        <v>7824.19</v>
      </c>
      <c r="F227" s="34"/>
      <c r="G227" s="29"/>
      <c r="H227" s="1"/>
      <c r="I227" s="51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2.75" customHeight="1">
      <c r="A228" s="29"/>
      <c r="B228" s="119">
        <v>42835.0</v>
      </c>
      <c r="C228" s="32"/>
      <c r="D228" s="120">
        <v>1137.0</v>
      </c>
      <c r="E228" s="33">
        <f>E227-7824.19</f>
        <v>0</v>
      </c>
      <c r="F228" s="34"/>
      <c r="G228" s="29"/>
      <c r="H228" s="1"/>
      <c r="I228" s="51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2.75" customHeight="1">
      <c r="A229" s="29" t="s">
        <v>107</v>
      </c>
      <c r="B229" s="31">
        <v>42712.0</v>
      </c>
      <c r="C229" s="32">
        <v>3950.0</v>
      </c>
      <c r="D229" s="29" t="s">
        <v>496</v>
      </c>
      <c r="E229" s="33">
        <v>100000.0</v>
      </c>
      <c r="F229" s="34"/>
      <c r="G229" s="29" t="s">
        <v>497</v>
      </c>
      <c r="H229" s="1"/>
      <c r="I229" s="15"/>
      <c r="J229" s="67"/>
      <c r="K229" s="67"/>
      <c r="L229" s="6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29"/>
      <c r="B230" s="119">
        <v>42835.0</v>
      </c>
      <c r="C230" s="32"/>
      <c r="D230" s="120">
        <v>1137.0</v>
      </c>
      <c r="E230" s="33">
        <f>E229-73554.53</f>
        <v>26445.47</v>
      </c>
      <c r="F230" s="34"/>
      <c r="G230" s="29"/>
      <c r="H230" s="1"/>
      <c r="I230" s="51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2.75" customHeight="1">
      <c r="A231" s="29"/>
      <c r="B231" s="119">
        <v>42864.0</v>
      </c>
      <c r="C231" s="119">
        <v>42874.0</v>
      </c>
      <c r="D231" s="120">
        <v>1162.0</v>
      </c>
      <c r="E231" s="33">
        <f>E230-26445.47</f>
        <v>0</v>
      </c>
      <c r="F231" s="34"/>
      <c r="G231" s="29"/>
      <c r="H231" s="1"/>
      <c r="I231" s="51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2.75" customHeight="1">
      <c r="A232" s="29" t="s">
        <v>107</v>
      </c>
      <c r="B232" s="31">
        <v>42720.0</v>
      </c>
      <c r="C232" s="32">
        <v>3950.0</v>
      </c>
      <c r="D232" s="29" t="s">
        <v>498</v>
      </c>
      <c r="E232" s="33">
        <v>200000.0</v>
      </c>
      <c r="F232" s="34"/>
      <c r="G232" s="29" t="s">
        <v>499</v>
      </c>
      <c r="H232" s="1"/>
      <c r="I232" s="15"/>
      <c r="J232" s="67"/>
      <c r="K232" s="67"/>
      <c r="L232" s="6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29"/>
      <c r="B233" s="31"/>
      <c r="C233" s="32"/>
      <c r="D233" s="29"/>
      <c r="E233" s="33">
        <f>E232-35154</f>
        <v>164846</v>
      </c>
      <c r="F233" s="34"/>
      <c r="G233" s="29"/>
      <c r="H233" s="1"/>
      <c r="I233" s="113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ht="12.75" customHeight="1">
      <c r="A234" s="29"/>
      <c r="B234" s="119">
        <v>42775.0</v>
      </c>
      <c r="C234" s="32"/>
      <c r="D234" s="120">
        <v>1095.0</v>
      </c>
      <c r="E234" s="33">
        <f>E233-46535</f>
        <v>118311</v>
      </c>
      <c r="F234" s="34"/>
      <c r="G234" s="29"/>
      <c r="H234" s="1"/>
      <c r="I234" s="113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ht="12.75" customHeight="1">
      <c r="A235" s="29"/>
      <c r="B235" s="119">
        <v>42810.0</v>
      </c>
      <c r="C235" s="32"/>
      <c r="D235" s="120">
        <v>1119.0</v>
      </c>
      <c r="E235" s="33">
        <f>E234-49602</f>
        <v>68709</v>
      </c>
      <c r="F235" s="34"/>
      <c r="G235" s="29"/>
      <c r="H235" s="1"/>
      <c r="I235" s="113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2.75" customHeight="1">
      <c r="A236" s="29"/>
      <c r="B236" s="119">
        <v>42835.0</v>
      </c>
      <c r="C236" s="32"/>
      <c r="D236" s="120">
        <v>1138.0</v>
      </c>
      <c r="E236" s="33">
        <f>E235-68709</f>
        <v>0</v>
      </c>
      <c r="F236" s="34"/>
      <c r="G236" s="29"/>
      <c r="H236" s="1"/>
      <c r="I236" s="113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2.75" customHeight="1">
      <c r="A237" s="52" t="s">
        <v>500</v>
      </c>
      <c r="B237" s="53">
        <v>42571.0</v>
      </c>
      <c r="C237" s="54">
        <v>3950.0</v>
      </c>
      <c r="D237" s="52" t="s">
        <v>501</v>
      </c>
      <c r="E237" s="55">
        <v>105899.2</v>
      </c>
      <c r="F237" s="56">
        <v>42935.0</v>
      </c>
      <c r="G237" s="52" t="s">
        <v>502</v>
      </c>
      <c r="H237" s="1"/>
      <c r="I237" s="15"/>
      <c r="J237" s="35"/>
      <c r="K237" s="35"/>
      <c r="L237" s="3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50"/>
      <c r="B238" s="57"/>
      <c r="C238" s="58"/>
      <c r="D238" s="50"/>
      <c r="E238" s="59">
        <f>E237-34025.01</f>
        <v>71874.19</v>
      </c>
      <c r="F238" s="60"/>
      <c r="G238" s="50"/>
      <c r="H238" s="1"/>
      <c r="I238" s="38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50"/>
      <c r="B239" s="57"/>
      <c r="C239" s="58"/>
      <c r="D239" s="50"/>
      <c r="E239" s="59">
        <f>E238-25546.16</f>
        <v>46328.03</v>
      </c>
      <c r="F239" s="60"/>
      <c r="G239" s="50"/>
      <c r="H239" s="1"/>
      <c r="I239" s="38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50"/>
      <c r="B240" s="57"/>
      <c r="C240" s="58"/>
      <c r="D240" s="50"/>
      <c r="E240" s="59">
        <f>E239-18492</f>
        <v>27836.03</v>
      </c>
      <c r="F240" s="60"/>
      <c r="G240" s="50"/>
      <c r="H240" s="1"/>
      <c r="I240" s="38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50"/>
      <c r="B241" s="122">
        <v>42779.0</v>
      </c>
      <c r="C241" s="58"/>
      <c r="D241" s="123">
        <v>1222.0</v>
      </c>
      <c r="E241" s="59">
        <f>E240-7308.34</f>
        <v>20527.69</v>
      </c>
      <c r="F241" s="60"/>
      <c r="G241" s="50"/>
      <c r="H241" s="1"/>
      <c r="I241" s="38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50"/>
      <c r="B242" s="122">
        <v>42802.0</v>
      </c>
      <c r="C242" s="58"/>
      <c r="D242" s="123">
        <v>1227.0</v>
      </c>
      <c r="E242" s="59">
        <f>E241-9846.71</f>
        <v>10680.98</v>
      </c>
      <c r="F242" s="60"/>
      <c r="G242" s="50"/>
      <c r="H242" s="1"/>
      <c r="I242" s="38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29" t="s">
        <v>503</v>
      </c>
      <c r="B243" s="31">
        <v>42475.0</v>
      </c>
      <c r="C243" s="32">
        <v>3950.0</v>
      </c>
      <c r="D243" s="29" t="s">
        <v>504</v>
      </c>
      <c r="E243" s="33">
        <v>19988.0</v>
      </c>
      <c r="F243" s="34">
        <v>42839.0</v>
      </c>
      <c r="G243" s="29" t="s">
        <v>505</v>
      </c>
      <c r="H243" s="1"/>
      <c r="I243" s="15"/>
      <c r="J243" s="49"/>
      <c r="K243" s="49"/>
      <c r="L243" s="4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29"/>
      <c r="B244" s="31"/>
      <c r="C244" s="32"/>
      <c r="D244" s="29"/>
      <c r="E244" s="33">
        <f>E243-15254</f>
        <v>4734</v>
      </c>
      <c r="F244" s="34"/>
      <c r="G244" s="29"/>
      <c r="H244" s="1"/>
      <c r="I244" s="51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2.75" customHeight="1">
      <c r="A245" s="29"/>
      <c r="B245" s="31"/>
      <c r="C245" s="32"/>
      <c r="D245" s="29"/>
      <c r="E245" s="33">
        <f>E244-4208</f>
        <v>526</v>
      </c>
      <c r="F245" s="34"/>
      <c r="G245" s="29"/>
      <c r="H245" s="1"/>
      <c r="I245" s="51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2.75" customHeight="1">
      <c r="A246" s="29"/>
      <c r="B246" s="31"/>
      <c r="C246" s="32"/>
      <c r="D246" s="29"/>
      <c r="E246" s="33">
        <f>E245-526</f>
        <v>0</v>
      </c>
      <c r="F246" s="34"/>
      <c r="G246" s="29"/>
      <c r="H246" s="1"/>
      <c r="I246" s="51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2.75" customHeight="1">
      <c r="A247" s="29" t="s">
        <v>503</v>
      </c>
      <c r="B247" s="31">
        <v>42691.0</v>
      </c>
      <c r="C247" s="32">
        <v>3950.0</v>
      </c>
      <c r="D247" s="29" t="s">
        <v>506</v>
      </c>
      <c r="E247" s="33">
        <v>19462.0</v>
      </c>
      <c r="F247" s="34">
        <v>42839.0</v>
      </c>
      <c r="G247" s="29" t="s">
        <v>507</v>
      </c>
      <c r="H247" s="1"/>
      <c r="I247" s="15"/>
      <c r="J247" s="49"/>
      <c r="K247" s="49"/>
      <c r="L247" s="4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29"/>
      <c r="B248" s="31"/>
      <c r="C248" s="32"/>
      <c r="D248" s="29"/>
      <c r="E248" s="33">
        <f>E247-6838</f>
        <v>12624</v>
      </c>
      <c r="F248" s="34"/>
      <c r="G248" s="29"/>
      <c r="H248" s="1"/>
      <c r="I248" s="51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2.75" customHeight="1">
      <c r="A249" s="29"/>
      <c r="B249" s="119">
        <v>42772.0</v>
      </c>
      <c r="C249" s="32"/>
      <c r="D249" s="120">
        <v>2818.0</v>
      </c>
      <c r="E249" s="33">
        <f>E248-11572</f>
        <v>1052</v>
      </c>
      <c r="F249" s="34"/>
      <c r="G249" s="29"/>
      <c r="H249" s="1"/>
      <c r="I249" s="51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2.75" customHeight="1">
      <c r="A250" s="29"/>
      <c r="B250" s="119">
        <v>42837.0</v>
      </c>
      <c r="C250" s="32"/>
      <c r="D250" s="120">
        <v>2942.0</v>
      </c>
      <c r="E250" s="33">
        <f>E249-1052</f>
        <v>0</v>
      </c>
      <c r="F250" s="34"/>
      <c r="G250" s="29"/>
      <c r="H250" s="1"/>
      <c r="I250" s="51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2.75" customHeight="1">
      <c r="A251" s="29" t="s">
        <v>508</v>
      </c>
      <c r="B251" s="31">
        <v>42718.0</v>
      </c>
      <c r="C251" s="32">
        <v>3036.0</v>
      </c>
      <c r="D251" s="29" t="s">
        <v>509</v>
      </c>
      <c r="E251" s="33">
        <v>222.0</v>
      </c>
      <c r="F251" s="34"/>
      <c r="G251" s="29" t="s">
        <v>457</v>
      </c>
      <c r="H251" s="1"/>
      <c r="I251" s="15"/>
      <c r="J251" s="49"/>
      <c r="K251" s="49"/>
      <c r="L251" s="4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29"/>
      <c r="B252" s="31"/>
      <c r="C252" s="32"/>
      <c r="D252" s="29"/>
      <c r="E252" s="33">
        <f>E251-222</f>
        <v>0</v>
      </c>
      <c r="F252" s="34"/>
      <c r="G252" s="29"/>
      <c r="H252" s="1"/>
      <c r="I252" s="15"/>
      <c r="J252" s="49"/>
      <c r="K252" s="49"/>
      <c r="L252" s="4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44" t="s">
        <v>117</v>
      </c>
      <c r="B253" s="45">
        <v>42513.0</v>
      </c>
      <c r="C253" s="58"/>
      <c r="D253" s="44" t="s">
        <v>510</v>
      </c>
      <c r="E253" s="47">
        <v>5970.7</v>
      </c>
      <c r="F253" s="48">
        <v>42587.0</v>
      </c>
      <c r="G253" s="44" t="s">
        <v>511</v>
      </c>
      <c r="H253" s="30" t="s">
        <v>22</v>
      </c>
      <c r="I253" s="15"/>
      <c r="J253" s="25"/>
      <c r="K253" s="25"/>
      <c r="L253" s="2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52" t="s">
        <v>117</v>
      </c>
      <c r="B254" s="53">
        <v>42691.0</v>
      </c>
      <c r="C254" s="54">
        <v>3004.0</v>
      </c>
      <c r="D254" s="52" t="s">
        <v>512</v>
      </c>
      <c r="E254" s="55">
        <v>85750.0</v>
      </c>
      <c r="F254" s="56">
        <v>43055.0</v>
      </c>
      <c r="G254" s="52" t="s">
        <v>513</v>
      </c>
      <c r="H254" s="1"/>
      <c r="I254" s="15"/>
      <c r="J254" s="49"/>
      <c r="K254" s="49"/>
      <c r="L254" s="4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50"/>
      <c r="B255" s="57"/>
      <c r="C255" s="58"/>
      <c r="D255" s="50"/>
      <c r="E255" s="59">
        <f>E254-1457.75</f>
        <v>84292.25</v>
      </c>
      <c r="F255" s="60"/>
      <c r="G255" s="50"/>
      <c r="H255" s="1"/>
      <c r="I255" s="51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2.75" customHeight="1">
      <c r="A256" s="50"/>
      <c r="B256" s="57"/>
      <c r="C256" s="58"/>
      <c r="D256" s="50"/>
      <c r="E256" s="59">
        <f>E255-2695.98</f>
        <v>81596.27</v>
      </c>
      <c r="F256" s="60"/>
      <c r="G256" s="50"/>
      <c r="H256" s="1"/>
      <c r="I256" s="51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2.75" customHeight="1">
      <c r="A257" s="50"/>
      <c r="B257" s="57"/>
      <c r="C257" s="58"/>
      <c r="D257" s="50"/>
      <c r="E257" s="59">
        <f>E256-1533.21</f>
        <v>80063.06</v>
      </c>
      <c r="F257" s="60"/>
      <c r="G257" s="50"/>
      <c r="H257" s="1"/>
      <c r="I257" s="51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2.75" customHeight="1">
      <c r="A258" s="50"/>
      <c r="B258" s="57"/>
      <c r="C258" s="58"/>
      <c r="D258" s="50"/>
      <c r="E258" s="59">
        <f>E257-1694.42</f>
        <v>78368.64</v>
      </c>
      <c r="F258" s="60"/>
      <c r="G258" s="50"/>
      <c r="H258" s="1"/>
      <c r="I258" s="51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2.75" customHeight="1">
      <c r="A259" s="50"/>
      <c r="B259" s="61">
        <v>42774.0</v>
      </c>
      <c r="C259" s="58"/>
      <c r="D259" s="62">
        <v>1532177.0</v>
      </c>
      <c r="E259" s="59">
        <f>E258-1732.15</f>
        <v>76636.49</v>
      </c>
      <c r="F259" s="60"/>
      <c r="G259" s="50"/>
      <c r="H259" s="1"/>
      <c r="I259" s="51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2.75" customHeight="1">
      <c r="A260" s="50"/>
      <c r="B260" s="61">
        <v>42788.0</v>
      </c>
      <c r="C260" s="58"/>
      <c r="D260" s="62">
        <v>1551273.0</v>
      </c>
      <c r="E260" s="59">
        <f>E259-1763.02</f>
        <v>74873.47</v>
      </c>
      <c r="F260" s="60"/>
      <c r="G260" s="50"/>
      <c r="H260" s="1"/>
      <c r="I260" s="51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2.75" customHeight="1">
      <c r="A261" s="50"/>
      <c r="B261" s="61">
        <v>42802.0</v>
      </c>
      <c r="C261" s="58"/>
      <c r="D261" s="62">
        <v>1561577.0</v>
      </c>
      <c r="E261" s="59">
        <f>E260-1752.73</f>
        <v>73120.74</v>
      </c>
      <c r="F261" s="60"/>
      <c r="G261" s="50"/>
      <c r="H261" s="1"/>
      <c r="I261" s="51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2.75" customHeight="1">
      <c r="A262" s="50"/>
      <c r="B262" s="61">
        <v>42815.0</v>
      </c>
      <c r="C262" s="58"/>
      <c r="D262" s="62">
        <v>1582390.0</v>
      </c>
      <c r="E262" s="59">
        <f>E261-1200.5</f>
        <v>71920.24</v>
      </c>
      <c r="F262" s="60"/>
      <c r="G262" s="50"/>
      <c r="H262" s="1"/>
      <c r="I262" s="51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2.75" customHeight="1">
      <c r="A263" s="50"/>
      <c r="B263" s="61">
        <v>42844.0</v>
      </c>
      <c r="C263" s="58"/>
      <c r="D263" s="62">
        <v>1610086.0</v>
      </c>
      <c r="E263" s="59">
        <f>E262-3430</f>
        <v>68490.24</v>
      </c>
      <c r="F263" s="60"/>
      <c r="G263" s="50"/>
      <c r="H263" s="1"/>
      <c r="I263" s="51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2.75" customHeight="1">
      <c r="A264" s="50"/>
      <c r="B264" s="61">
        <v>42850.0</v>
      </c>
      <c r="C264" s="58"/>
      <c r="D264" s="62">
        <v>1625463.0</v>
      </c>
      <c r="E264" s="59">
        <f>E263-1852.2</f>
        <v>66638.04</v>
      </c>
      <c r="F264" s="60"/>
      <c r="G264" s="50"/>
      <c r="H264" s="1"/>
      <c r="I264" s="51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2.75" customHeight="1">
      <c r="A265" s="50"/>
      <c r="B265" s="61">
        <v>42864.0</v>
      </c>
      <c r="C265" s="61">
        <v>42880.0</v>
      </c>
      <c r="D265" s="62">
        <v>1636692.0</v>
      </c>
      <c r="E265" s="59">
        <f>E264-2006.55</f>
        <v>64631.49</v>
      </c>
      <c r="F265" s="60"/>
      <c r="G265" s="50"/>
      <c r="H265" s="1"/>
      <c r="I265" s="51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2.75" customHeight="1">
      <c r="A266" s="50"/>
      <c r="B266" s="61">
        <v>42878.0</v>
      </c>
      <c r="C266" s="61">
        <v>42887.0</v>
      </c>
      <c r="D266" s="62">
        <v>1656780.0</v>
      </c>
      <c r="E266" s="59">
        <f>E265-1776.74</f>
        <v>62854.75</v>
      </c>
      <c r="F266" s="60"/>
      <c r="G266" s="50"/>
      <c r="H266" s="1"/>
      <c r="I266" s="51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2.75" customHeight="1">
      <c r="A267" s="50"/>
      <c r="B267" s="61">
        <v>42892.0</v>
      </c>
      <c r="C267" s="61">
        <v>42907.0</v>
      </c>
      <c r="D267" s="62">
        <v>1666959.0</v>
      </c>
      <c r="E267" s="59">
        <f>E266-1835.05</f>
        <v>61019.7</v>
      </c>
      <c r="F267" s="60"/>
      <c r="G267" s="50"/>
      <c r="H267" s="1"/>
      <c r="I267" s="51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2.75" customHeight="1">
      <c r="A268" s="50"/>
      <c r="B268" s="61">
        <v>42907.0</v>
      </c>
      <c r="C268" s="61">
        <v>42922.0</v>
      </c>
      <c r="D268" s="62">
        <v>1689840.0</v>
      </c>
      <c r="E268" s="59">
        <f>E267-2291.24</f>
        <v>58728.46</v>
      </c>
      <c r="F268" s="60"/>
      <c r="G268" s="50"/>
      <c r="H268" s="1"/>
      <c r="I268" s="51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2.75" customHeight="1">
      <c r="A269" s="50"/>
      <c r="B269" s="61">
        <v>42920.0</v>
      </c>
      <c r="C269" s="61">
        <v>42926.0</v>
      </c>
      <c r="D269" s="62">
        <v>1703584.0</v>
      </c>
      <c r="E269" s="59">
        <f>E268-1488.62</f>
        <v>57239.84</v>
      </c>
      <c r="F269" s="60"/>
      <c r="G269" s="50"/>
      <c r="H269" s="1"/>
      <c r="I269" s="51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2.75" customHeight="1">
      <c r="A270" s="50"/>
      <c r="B270" s="61">
        <v>42934.0</v>
      </c>
      <c r="C270" s="61">
        <v>42955.0</v>
      </c>
      <c r="D270" s="62">
        <v>1724449.0</v>
      </c>
      <c r="E270" s="59">
        <f>E269-2082.01</f>
        <v>55157.83</v>
      </c>
      <c r="F270" s="60"/>
      <c r="G270" s="50"/>
      <c r="H270" s="1"/>
      <c r="I270" s="51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2.75" customHeight="1">
      <c r="A271" s="50"/>
      <c r="B271" s="61">
        <v>42948.0</v>
      </c>
      <c r="C271" s="61">
        <v>42965.0</v>
      </c>
      <c r="D271" s="62">
        <v>1737841.0</v>
      </c>
      <c r="E271" s="59">
        <f>E270-2047.71</f>
        <v>53110.12</v>
      </c>
      <c r="F271" s="60"/>
      <c r="G271" s="50"/>
      <c r="H271" s="1"/>
      <c r="I271" s="51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2.75" customHeight="1">
      <c r="A272" s="50"/>
      <c r="B272" s="61">
        <v>42962.0</v>
      </c>
      <c r="C272" s="61">
        <v>42971.0</v>
      </c>
      <c r="D272" s="62">
        <v>1752093.0</v>
      </c>
      <c r="E272" s="59">
        <f>E271-2208.92</f>
        <v>50901.2</v>
      </c>
      <c r="F272" s="60"/>
      <c r="G272" s="50"/>
      <c r="H272" s="1"/>
      <c r="I272" s="51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2.75" customHeight="1">
      <c r="A273" s="50"/>
      <c r="B273" s="61">
        <v>42976.0</v>
      </c>
      <c r="C273" s="61">
        <v>42982.0</v>
      </c>
      <c r="D273" s="62">
        <v>1773667.0</v>
      </c>
      <c r="E273" s="59">
        <f>E272-1985.97</f>
        <v>48915.23</v>
      </c>
      <c r="F273" s="60"/>
      <c r="G273" s="50"/>
      <c r="H273" s="1"/>
      <c r="I273" s="51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2.75" customHeight="1">
      <c r="A274" s="50"/>
      <c r="B274" s="61">
        <v>43018.0</v>
      </c>
      <c r="C274" s="61">
        <v>43038.0</v>
      </c>
      <c r="D274" s="62">
        <v>823219.0</v>
      </c>
      <c r="E274" s="59">
        <f>E273-2064.86</f>
        <v>46850.37</v>
      </c>
      <c r="F274" s="60"/>
      <c r="G274" s="50"/>
      <c r="H274" s="1"/>
      <c r="I274" s="51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2.75" customHeight="1">
      <c r="A275" s="50"/>
      <c r="B275" s="61">
        <v>43032.0</v>
      </c>
      <c r="C275" s="61">
        <v>43045.0</v>
      </c>
      <c r="D275" s="62">
        <v>1844300.0</v>
      </c>
      <c r="E275" s="59">
        <f>E274-2082.01</f>
        <v>44768.36</v>
      </c>
      <c r="F275" s="60"/>
      <c r="G275" s="50"/>
      <c r="H275" s="1"/>
      <c r="I275" s="51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2.75" customHeight="1">
      <c r="A276" s="50"/>
      <c r="B276" s="61">
        <v>43047.0</v>
      </c>
      <c r="C276" s="61">
        <v>43062.0</v>
      </c>
      <c r="D276" s="62">
        <v>1858063.0</v>
      </c>
      <c r="E276" s="59">
        <f>E275-1835.05</f>
        <v>42933.31</v>
      </c>
      <c r="F276" s="60"/>
      <c r="G276" s="50"/>
      <c r="H276" s="1"/>
      <c r="I276" s="51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2.75" customHeight="1">
      <c r="A277" s="29" t="s">
        <v>127</v>
      </c>
      <c r="B277" s="31">
        <v>42624.0</v>
      </c>
      <c r="C277" s="32">
        <v>3917.0</v>
      </c>
      <c r="D277" s="29" t="s">
        <v>531</v>
      </c>
      <c r="E277" s="33">
        <v>100000.0</v>
      </c>
      <c r="F277" s="34">
        <v>42988.0</v>
      </c>
      <c r="G277" s="29" t="s">
        <v>532</v>
      </c>
      <c r="H277" s="1"/>
      <c r="I277" s="1"/>
      <c r="J277" s="35"/>
      <c r="K277" s="35"/>
      <c r="L277" s="3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29"/>
      <c r="B278" s="31"/>
      <c r="C278" s="32"/>
      <c r="D278" s="29"/>
      <c r="E278" s="33">
        <f>E277-15314.16</f>
        <v>84685.84</v>
      </c>
      <c r="F278" s="29"/>
      <c r="G278" s="29"/>
      <c r="H278" s="1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29"/>
      <c r="B279" s="31"/>
      <c r="C279" s="32"/>
      <c r="D279" s="29"/>
      <c r="E279" s="33">
        <f>E278-15314.16-15314.16</f>
        <v>54057.52</v>
      </c>
      <c r="F279" s="29"/>
      <c r="G279" s="29"/>
      <c r="H279" s="1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29"/>
      <c r="B280" s="31"/>
      <c r="C280" s="32"/>
      <c r="D280" s="29"/>
      <c r="E280" s="33">
        <f t="shared" ref="E280:E282" si="3">E279-15314.16</f>
        <v>38743.36</v>
      </c>
      <c r="F280" s="29"/>
      <c r="G280" s="29"/>
      <c r="H280" s="1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29"/>
      <c r="B281" s="31"/>
      <c r="C281" s="32"/>
      <c r="D281" s="29"/>
      <c r="E281" s="33">
        <f t="shared" si="3"/>
        <v>23429.2</v>
      </c>
      <c r="F281" s="29"/>
      <c r="G281" s="29"/>
      <c r="H281" s="1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29"/>
      <c r="B282" s="41">
        <v>42796.0</v>
      </c>
      <c r="C282" s="32"/>
      <c r="D282" s="42">
        <v>971.0</v>
      </c>
      <c r="E282" s="33">
        <f t="shared" si="3"/>
        <v>8115.04</v>
      </c>
      <c r="F282" s="29"/>
      <c r="G282" s="29"/>
      <c r="H282" s="1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29"/>
      <c r="B283" s="41">
        <v>42828.0</v>
      </c>
      <c r="C283" s="32"/>
      <c r="D283" s="42">
        <v>977.0</v>
      </c>
      <c r="E283" s="33">
        <f>E282-8115.04</f>
        <v>0</v>
      </c>
      <c r="F283" s="29"/>
      <c r="G283" s="29"/>
      <c r="H283" s="1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29" t="s">
        <v>120</v>
      </c>
      <c r="B284" s="31">
        <v>42712.0</v>
      </c>
      <c r="C284" s="32">
        <v>3950.0</v>
      </c>
      <c r="D284" s="29" t="s">
        <v>537</v>
      </c>
      <c r="E284" s="33">
        <v>200000.0</v>
      </c>
      <c r="F284" s="29"/>
      <c r="G284" s="29" t="s">
        <v>538</v>
      </c>
      <c r="H284" s="1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29"/>
      <c r="B285" s="31"/>
      <c r="C285" s="32"/>
      <c r="D285" s="29"/>
      <c r="E285" s="33">
        <f>E284-57490.38</f>
        <v>142509.62</v>
      </c>
      <c r="F285" s="29"/>
      <c r="G285" s="29"/>
      <c r="H285" s="1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29"/>
      <c r="B286" s="31"/>
      <c r="C286" s="32"/>
      <c r="D286" s="29"/>
      <c r="E286" s="33">
        <f>E285-22800</f>
        <v>119709.62</v>
      </c>
      <c r="F286" s="29"/>
      <c r="G286" s="29"/>
      <c r="H286" s="1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29"/>
      <c r="B287" s="41">
        <v>42804.0</v>
      </c>
      <c r="C287" s="32"/>
      <c r="D287" s="42">
        <v>178.0</v>
      </c>
      <c r="E287" s="33">
        <f>E286-90000</f>
        <v>29709.62</v>
      </c>
      <c r="F287" s="29"/>
      <c r="G287" s="29"/>
      <c r="H287" s="1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29"/>
      <c r="B288" s="41">
        <v>42793.0</v>
      </c>
      <c r="C288" s="32"/>
      <c r="D288" s="42">
        <v>176.0</v>
      </c>
      <c r="E288" s="33">
        <f>E287-29709.62</f>
        <v>0</v>
      </c>
      <c r="F288" s="29"/>
      <c r="G288" s="29"/>
      <c r="H288" s="1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29" t="s">
        <v>140</v>
      </c>
      <c r="B289" s="31">
        <v>42531.0</v>
      </c>
      <c r="C289" s="32">
        <v>3701.0</v>
      </c>
      <c r="D289" s="29" t="s">
        <v>541</v>
      </c>
      <c r="E289" s="33">
        <v>1373145.68</v>
      </c>
      <c r="F289" s="34">
        <v>42895.0</v>
      </c>
      <c r="G289" s="29" t="s">
        <v>542</v>
      </c>
      <c r="H289" s="1"/>
      <c r="I289" s="1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29"/>
      <c r="B290" s="31"/>
      <c r="C290" s="32"/>
      <c r="D290" s="29"/>
      <c r="E290" s="33">
        <v>1083440.07</v>
      </c>
      <c r="F290" s="34"/>
      <c r="G290" s="29"/>
      <c r="H290" s="1"/>
      <c r="I290" s="1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29"/>
      <c r="B291" s="31"/>
      <c r="C291" s="32"/>
      <c r="D291" s="29"/>
      <c r="E291" s="33">
        <f t="shared" ref="E291:E293" si="4">E290-289705.62</f>
        <v>793734.45</v>
      </c>
      <c r="F291" s="34"/>
      <c r="G291" s="29"/>
      <c r="H291" s="1"/>
      <c r="I291" s="1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29"/>
      <c r="B292" s="31"/>
      <c r="C292" s="32"/>
      <c r="D292" s="29"/>
      <c r="E292" s="33">
        <f t="shared" si="4"/>
        <v>504028.83</v>
      </c>
      <c r="F292" s="34"/>
      <c r="G292" s="29"/>
      <c r="H292" s="1"/>
      <c r="I292" s="1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29"/>
      <c r="B293" s="151">
        <v>42797.0</v>
      </c>
      <c r="C293" s="32"/>
      <c r="D293" s="152">
        <v>17984.0</v>
      </c>
      <c r="E293" s="33">
        <f t="shared" si="4"/>
        <v>214323.21</v>
      </c>
      <c r="F293" s="34"/>
      <c r="G293" s="29"/>
      <c r="H293" s="1"/>
      <c r="I293" s="1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29"/>
      <c r="B294" s="151">
        <v>42828.0</v>
      </c>
      <c r="C294" s="32"/>
      <c r="D294" s="152">
        <v>18404.0</v>
      </c>
      <c r="E294" s="33">
        <f>E293-214323.21</f>
        <v>0</v>
      </c>
      <c r="F294" s="34"/>
      <c r="G294" s="29"/>
      <c r="H294" s="1"/>
      <c r="I294" s="1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29" t="s">
        <v>543</v>
      </c>
      <c r="B295" s="31">
        <v>42696.0</v>
      </c>
      <c r="C295" s="32">
        <v>3036.0</v>
      </c>
      <c r="D295" s="29" t="s">
        <v>544</v>
      </c>
      <c r="E295" s="33">
        <v>30.8</v>
      </c>
      <c r="F295" s="34">
        <v>43035.0</v>
      </c>
      <c r="G295" s="29" t="s">
        <v>545</v>
      </c>
      <c r="H295" s="1"/>
      <c r="I295" s="15"/>
      <c r="J295" s="35"/>
      <c r="K295" s="35"/>
      <c r="L295" s="3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29"/>
      <c r="B296" s="31"/>
      <c r="C296" s="32"/>
      <c r="D296" s="29"/>
      <c r="E296" s="33">
        <f>E295-30.8</f>
        <v>0</v>
      </c>
      <c r="F296" s="34"/>
      <c r="G296" s="29"/>
      <c r="H296" s="1"/>
      <c r="I296" s="38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29" t="s">
        <v>543</v>
      </c>
      <c r="B297" s="31">
        <v>42720.0</v>
      </c>
      <c r="C297" s="32">
        <v>3036.0</v>
      </c>
      <c r="D297" s="29" t="s">
        <v>546</v>
      </c>
      <c r="E297" s="33">
        <v>20587.5</v>
      </c>
      <c r="F297" s="34"/>
      <c r="G297" s="29" t="s">
        <v>547</v>
      </c>
      <c r="H297" s="12"/>
      <c r="I297" s="104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2.75" customHeight="1">
      <c r="A298" s="29"/>
      <c r="B298" s="31">
        <v>42993.0</v>
      </c>
      <c r="C298" s="109">
        <v>43017.0</v>
      </c>
      <c r="D298" s="29">
        <v>345581.0</v>
      </c>
      <c r="E298" s="33">
        <f>E297-20587.5</f>
        <v>0</v>
      </c>
      <c r="F298" s="34"/>
      <c r="G298" s="29"/>
      <c r="H298" s="12"/>
      <c r="I298" s="104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2.75" customHeight="1">
      <c r="A299" s="29" t="s">
        <v>543</v>
      </c>
      <c r="B299" s="31">
        <v>42720.0</v>
      </c>
      <c r="C299" s="32">
        <v>3036.0</v>
      </c>
      <c r="D299" s="29" t="s">
        <v>548</v>
      </c>
      <c r="E299" s="33">
        <v>1066.0</v>
      </c>
      <c r="F299" s="34"/>
      <c r="G299" s="29" t="s">
        <v>460</v>
      </c>
      <c r="H299" s="12"/>
      <c r="I299" s="104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2.75" customHeight="1">
      <c r="A300" s="29"/>
      <c r="B300" s="31">
        <v>42930.0</v>
      </c>
      <c r="C300" s="109">
        <v>42944.0</v>
      </c>
      <c r="D300" s="29">
        <v>335071.0</v>
      </c>
      <c r="E300" s="33">
        <f>E299-1066</f>
        <v>0</v>
      </c>
      <c r="F300" s="34"/>
      <c r="G300" s="29"/>
      <c r="H300" s="12"/>
      <c r="I300" s="104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2.75" customHeight="1">
      <c r="A301" s="29" t="s">
        <v>549</v>
      </c>
      <c r="B301" s="31">
        <v>42583.0</v>
      </c>
      <c r="C301" s="32">
        <v>3009.0</v>
      </c>
      <c r="D301" s="29" t="s">
        <v>550</v>
      </c>
      <c r="E301" s="33">
        <v>1692.0</v>
      </c>
      <c r="F301" s="34">
        <v>42796.0</v>
      </c>
      <c r="G301" s="29" t="s">
        <v>551</v>
      </c>
      <c r="H301" s="1"/>
      <c r="I301" s="1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29"/>
      <c r="B302" s="41">
        <v>42769.0</v>
      </c>
      <c r="C302" s="32"/>
      <c r="D302" s="42">
        <v>1659338.0</v>
      </c>
      <c r="E302" s="33">
        <f>E301-1692</f>
        <v>0</v>
      </c>
      <c r="F302" s="34"/>
      <c r="G302" s="29"/>
      <c r="H302" s="1"/>
      <c r="I302" s="1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29" t="s">
        <v>552</v>
      </c>
      <c r="B303" s="31">
        <v>42593.0</v>
      </c>
      <c r="C303" s="32">
        <v>3950.0</v>
      </c>
      <c r="D303" s="29" t="s">
        <v>553</v>
      </c>
      <c r="E303" s="33">
        <v>1726.43</v>
      </c>
      <c r="F303" s="34">
        <v>42711.0</v>
      </c>
      <c r="G303" s="29" t="s">
        <v>554</v>
      </c>
      <c r="H303" s="16"/>
      <c r="I303" s="85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2.75" customHeight="1">
      <c r="A304" s="29"/>
      <c r="B304" s="151">
        <v>42844.0</v>
      </c>
      <c r="C304" s="151">
        <v>42871.0</v>
      </c>
      <c r="D304" s="152">
        <v>1544.0</v>
      </c>
      <c r="E304" s="33">
        <f>E303-1726.43</f>
        <v>0</v>
      </c>
      <c r="F304" s="34"/>
      <c r="G304" s="29"/>
      <c r="H304" s="1"/>
      <c r="I304" s="1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29" t="s">
        <v>555</v>
      </c>
      <c r="B305" s="31">
        <v>42612.0</v>
      </c>
      <c r="C305" s="32">
        <v>3022.0</v>
      </c>
      <c r="D305" s="29" t="s">
        <v>556</v>
      </c>
      <c r="E305" s="33">
        <v>2456.5</v>
      </c>
      <c r="F305" s="34">
        <v>42969.0</v>
      </c>
      <c r="G305" s="29" t="s">
        <v>557</v>
      </c>
      <c r="H305" s="1"/>
      <c r="I305" s="15"/>
      <c r="J305" s="49"/>
      <c r="K305" s="49"/>
      <c r="L305" s="4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29"/>
      <c r="B306" s="31"/>
      <c r="C306" s="32"/>
      <c r="D306" s="29"/>
      <c r="E306" s="33">
        <f>E305-2456.5</f>
        <v>0</v>
      </c>
      <c r="F306" s="34"/>
      <c r="G306" s="29"/>
      <c r="H306" s="1"/>
      <c r="I306" s="51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2.75" customHeight="1">
      <c r="A307" s="29" t="s">
        <v>555</v>
      </c>
      <c r="B307" s="31">
        <v>42612.0</v>
      </c>
      <c r="C307" s="32">
        <v>3022.0</v>
      </c>
      <c r="D307" s="29" t="s">
        <v>558</v>
      </c>
      <c r="E307" s="33">
        <v>3337.5</v>
      </c>
      <c r="F307" s="34">
        <v>42969.0</v>
      </c>
      <c r="G307" s="29" t="s">
        <v>557</v>
      </c>
      <c r="H307" s="1"/>
      <c r="I307" s="1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29"/>
      <c r="B308" s="31"/>
      <c r="C308" s="32"/>
      <c r="D308" s="29"/>
      <c r="E308" s="33">
        <f>E307-3337.5</f>
        <v>0</v>
      </c>
      <c r="F308" s="34"/>
      <c r="G308" s="29"/>
      <c r="H308" s="1"/>
      <c r="I308" s="51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2.75" customHeight="1">
      <c r="A309" s="52" t="s">
        <v>156</v>
      </c>
      <c r="B309" s="53">
        <v>42496.0</v>
      </c>
      <c r="C309" s="54">
        <v>3035.0</v>
      </c>
      <c r="D309" s="52" t="s">
        <v>559</v>
      </c>
      <c r="E309" s="55">
        <v>6048.0</v>
      </c>
      <c r="F309" s="56">
        <v>42860.0</v>
      </c>
      <c r="G309" s="52" t="s">
        <v>560</v>
      </c>
      <c r="H309" s="1"/>
      <c r="I309" s="15"/>
      <c r="J309" s="35"/>
      <c r="K309" s="35"/>
      <c r="L309" s="3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50"/>
      <c r="B310" s="153">
        <v>42815.0</v>
      </c>
      <c r="C310" s="58"/>
      <c r="D310" s="154">
        <v>197368.0</v>
      </c>
      <c r="E310" s="59">
        <f>E309-3024</f>
        <v>3024</v>
      </c>
      <c r="F310" s="60"/>
      <c r="G310" s="50"/>
      <c r="H310" s="1"/>
      <c r="I310" s="1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50"/>
      <c r="B311" s="153">
        <v>42853.0</v>
      </c>
      <c r="C311" s="58"/>
      <c r="D311" s="154">
        <v>199923.0</v>
      </c>
      <c r="E311" s="59">
        <f>E310-2800</f>
        <v>224</v>
      </c>
      <c r="F311" s="60"/>
      <c r="G311" s="50"/>
      <c r="H311" s="1"/>
      <c r="I311" s="1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52" t="s">
        <v>156</v>
      </c>
      <c r="B312" s="53">
        <v>42571.0</v>
      </c>
      <c r="C312" s="54">
        <v>3036.0</v>
      </c>
      <c r="D312" s="52" t="s">
        <v>561</v>
      </c>
      <c r="E312" s="55">
        <v>11362.0</v>
      </c>
      <c r="F312" s="56">
        <v>42751.0</v>
      </c>
      <c r="G312" s="52" t="s">
        <v>562</v>
      </c>
      <c r="H312" s="1"/>
      <c r="I312" s="15"/>
      <c r="J312" s="35"/>
      <c r="K312" s="35"/>
      <c r="L312" s="3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50"/>
      <c r="B313" s="57"/>
      <c r="C313" s="58"/>
      <c r="D313" s="50"/>
      <c r="E313" s="59">
        <f>E312-11311</f>
        <v>51</v>
      </c>
      <c r="F313" s="60"/>
      <c r="G313" s="50"/>
      <c r="H313" s="1"/>
      <c r="I313" s="1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29" t="s">
        <v>156</v>
      </c>
      <c r="B314" s="31">
        <v>42583.0</v>
      </c>
      <c r="C314" s="58"/>
      <c r="D314" s="29" t="s">
        <v>563</v>
      </c>
      <c r="E314" s="33">
        <v>396.0</v>
      </c>
      <c r="F314" s="34">
        <v>42923.0</v>
      </c>
      <c r="G314" s="29" t="s">
        <v>564</v>
      </c>
      <c r="H314" s="1"/>
      <c r="I314" s="15"/>
      <c r="J314" s="35"/>
      <c r="K314" s="35"/>
      <c r="L314" s="3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29"/>
      <c r="B315" s="31"/>
      <c r="C315" s="58"/>
      <c r="D315" s="29"/>
      <c r="E315" s="33">
        <f>E314-396</f>
        <v>0</v>
      </c>
      <c r="F315" s="34"/>
      <c r="G315" s="29"/>
      <c r="H315" s="1"/>
      <c r="I315" s="15"/>
      <c r="J315" s="35"/>
      <c r="K315" s="35"/>
      <c r="L315" s="3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29" t="s">
        <v>156</v>
      </c>
      <c r="B316" s="31">
        <v>42678.0</v>
      </c>
      <c r="C316" s="32">
        <v>3036.0</v>
      </c>
      <c r="D316" s="29" t="s">
        <v>565</v>
      </c>
      <c r="E316" s="33">
        <v>820.0</v>
      </c>
      <c r="F316" s="34">
        <v>43035.0</v>
      </c>
      <c r="G316" s="29" t="s">
        <v>359</v>
      </c>
      <c r="H316" s="1"/>
      <c r="I316" s="15"/>
      <c r="J316" s="35"/>
      <c r="K316" s="35"/>
      <c r="L316" s="3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29"/>
      <c r="B317" s="31"/>
      <c r="C317" s="58"/>
      <c r="D317" s="29"/>
      <c r="E317" s="33">
        <f>E316-820</f>
        <v>0</v>
      </c>
      <c r="F317" s="34"/>
      <c r="G317" s="29"/>
      <c r="H317" s="1"/>
      <c r="I317" s="38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29" t="s">
        <v>156</v>
      </c>
      <c r="B318" s="31">
        <v>42696.0</v>
      </c>
      <c r="C318" s="32">
        <v>3036.0</v>
      </c>
      <c r="D318" s="29" t="s">
        <v>566</v>
      </c>
      <c r="E318" s="33">
        <v>1095.0</v>
      </c>
      <c r="F318" s="34">
        <v>43035.0</v>
      </c>
      <c r="G318" s="29" t="s">
        <v>545</v>
      </c>
      <c r="H318" s="1"/>
      <c r="I318" s="15"/>
      <c r="J318" s="35"/>
      <c r="K318" s="35"/>
      <c r="L318" s="3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29"/>
      <c r="B319" s="31"/>
      <c r="C319" s="58"/>
      <c r="D319" s="29"/>
      <c r="E319" s="33">
        <f>E318-1095</f>
        <v>0</v>
      </c>
      <c r="F319" s="34"/>
      <c r="G319" s="29"/>
      <c r="H319" s="1"/>
      <c r="I319" s="38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29" t="s">
        <v>156</v>
      </c>
      <c r="B320" s="31">
        <v>42696.0</v>
      </c>
      <c r="C320" s="32">
        <v>3036.0</v>
      </c>
      <c r="D320" s="29" t="s">
        <v>567</v>
      </c>
      <c r="E320" s="33">
        <v>960.0</v>
      </c>
      <c r="F320" s="34">
        <v>43047.0</v>
      </c>
      <c r="G320" s="29" t="s">
        <v>568</v>
      </c>
      <c r="H320" s="1"/>
      <c r="I320" s="15"/>
      <c r="J320" s="35"/>
      <c r="K320" s="35"/>
      <c r="L320" s="3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29"/>
      <c r="B321" s="31"/>
      <c r="C321" s="58"/>
      <c r="D321" s="29"/>
      <c r="E321" s="33">
        <f>E320-960</f>
        <v>0</v>
      </c>
      <c r="F321" s="34"/>
      <c r="G321" s="29"/>
      <c r="H321" s="1"/>
      <c r="I321" s="38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29" t="s">
        <v>156</v>
      </c>
      <c r="B322" s="125">
        <v>42716.0</v>
      </c>
      <c r="C322" s="32">
        <v>3036.0</v>
      </c>
      <c r="D322" s="29" t="s">
        <v>569</v>
      </c>
      <c r="E322" s="33">
        <v>9021.0</v>
      </c>
      <c r="F322" s="34">
        <v>42897.0</v>
      </c>
      <c r="G322" s="29" t="s">
        <v>570</v>
      </c>
      <c r="H322" s="1"/>
      <c r="I322" s="1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29"/>
      <c r="B323" s="125"/>
      <c r="C323" s="58"/>
      <c r="D323" s="29"/>
      <c r="E323" s="33">
        <f>E322-5700</f>
        <v>3321</v>
      </c>
      <c r="F323" s="34"/>
      <c r="G323" s="29"/>
      <c r="H323" s="1"/>
      <c r="I323" s="1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29"/>
      <c r="B324" s="119">
        <v>42776.0</v>
      </c>
      <c r="C324" s="58"/>
      <c r="D324" s="120">
        <v>194796.0</v>
      </c>
      <c r="E324" s="33">
        <f>E323-3321</f>
        <v>0</v>
      </c>
      <c r="F324" s="34"/>
      <c r="G324" s="29"/>
      <c r="H324" s="1"/>
      <c r="I324" s="1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29" t="s">
        <v>156</v>
      </c>
      <c r="B325" s="31">
        <v>42720.0</v>
      </c>
      <c r="C325" s="32">
        <v>3036.0</v>
      </c>
      <c r="D325" s="29" t="s">
        <v>571</v>
      </c>
      <c r="E325" s="33">
        <v>364.0</v>
      </c>
      <c r="F325" s="34"/>
      <c r="G325" s="29" t="s">
        <v>359</v>
      </c>
      <c r="H325" s="1"/>
      <c r="I325" s="15"/>
      <c r="J325" s="35"/>
      <c r="K325" s="35"/>
      <c r="L325" s="3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29"/>
      <c r="B326" s="119">
        <v>42830.0</v>
      </c>
      <c r="C326" s="32"/>
      <c r="D326" s="120">
        <v>198416.0</v>
      </c>
      <c r="E326" s="33">
        <f>E325-364</f>
        <v>0</v>
      </c>
      <c r="F326" s="34"/>
      <c r="G326" s="29"/>
      <c r="H326" s="1"/>
      <c r="I326" s="51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2.75" customHeight="1">
      <c r="A327" s="52" t="s">
        <v>156</v>
      </c>
      <c r="B327" s="53">
        <v>42720.0</v>
      </c>
      <c r="C327" s="54">
        <v>3036.0</v>
      </c>
      <c r="D327" s="52" t="s">
        <v>572</v>
      </c>
      <c r="E327" s="55">
        <v>1095.0</v>
      </c>
      <c r="F327" s="56">
        <v>43035.0</v>
      </c>
      <c r="G327" s="52" t="s">
        <v>547</v>
      </c>
      <c r="H327" s="1"/>
      <c r="I327" s="15"/>
      <c r="J327" s="35"/>
      <c r="K327" s="35"/>
      <c r="L327" s="3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52" t="s">
        <v>573</v>
      </c>
      <c r="B328" s="53">
        <v>42720.0</v>
      </c>
      <c r="C328" s="54">
        <v>3035.0</v>
      </c>
      <c r="D328" s="52" t="s">
        <v>574</v>
      </c>
      <c r="E328" s="55">
        <v>11285.5</v>
      </c>
      <c r="F328" s="56"/>
      <c r="G328" s="52" t="s">
        <v>575</v>
      </c>
      <c r="H328" s="1"/>
      <c r="I328" s="15"/>
      <c r="J328" s="35"/>
      <c r="K328" s="35"/>
      <c r="L328" s="3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21"/>
      <c r="B329" s="142">
        <v>42775.0</v>
      </c>
      <c r="C329" s="58"/>
      <c r="D329" s="141">
        <v>1296.0</v>
      </c>
      <c r="E329" s="59">
        <f>E328-698.85</f>
        <v>10586.65</v>
      </c>
      <c r="F329" s="124"/>
      <c r="G329" s="121"/>
      <c r="H329" s="67"/>
      <c r="I329" s="113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2.75" customHeight="1">
      <c r="A330" s="121"/>
      <c r="B330" s="142">
        <v>42831.0</v>
      </c>
      <c r="C330" s="58"/>
      <c r="D330" s="141">
        <v>1484.0</v>
      </c>
      <c r="E330" s="59">
        <f>E329-1350</f>
        <v>9236.65</v>
      </c>
      <c r="F330" s="124"/>
      <c r="G330" s="121"/>
      <c r="H330" s="67"/>
      <c r="I330" s="113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2.75" customHeight="1">
      <c r="A331" s="121"/>
      <c r="B331" s="142">
        <v>42860.0</v>
      </c>
      <c r="C331" s="58"/>
      <c r="D331" s="141">
        <v>1598.0</v>
      </c>
      <c r="E331" s="59">
        <f>E330-127.08</f>
        <v>9109.57</v>
      </c>
      <c r="F331" s="124"/>
      <c r="G331" s="121"/>
      <c r="H331" s="67"/>
      <c r="I331" s="113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2.75" customHeight="1">
      <c r="A332" s="121"/>
      <c r="B332" s="142">
        <v>42870.0</v>
      </c>
      <c r="C332" s="142">
        <v>42880.0</v>
      </c>
      <c r="D332" s="141">
        <v>1636.0</v>
      </c>
      <c r="E332" s="59">
        <f>E331-63.54</f>
        <v>9046.03</v>
      </c>
      <c r="F332" s="124"/>
      <c r="G332" s="121"/>
      <c r="H332" s="67"/>
      <c r="I332" s="113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2.75" customHeight="1">
      <c r="A333" s="121"/>
      <c r="B333" s="142">
        <v>42878.0</v>
      </c>
      <c r="C333" s="142">
        <v>42880.0</v>
      </c>
      <c r="D333" s="141">
        <v>1663.0</v>
      </c>
      <c r="E333" s="59">
        <f>E332-381</f>
        <v>8665.03</v>
      </c>
      <c r="F333" s="124"/>
      <c r="G333" s="121"/>
      <c r="H333" s="67"/>
      <c r="I333" s="113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2.75" customHeight="1">
      <c r="A334" s="121"/>
      <c r="B334" s="142">
        <v>42908.0</v>
      </c>
      <c r="C334" s="142">
        <v>42913.0</v>
      </c>
      <c r="D334" s="141">
        <v>1769.0</v>
      </c>
      <c r="E334" s="59">
        <f>E333-171.75</f>
        <v>8493.28</v>
      </c>
      <c r="F334" s="124"/>
      <c r="G334" s="121"/>
      <c r="H334" s="67"/>
      <c r="I334" s="113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2.75" customHeight="1">
      <c r="A335" s="121"/>
      <c r="B335" s="142">
        <v>42942.0</v>
      </c>
      <c r="C335" s="142">
        <v>42948.0</v>
      </c>
      <c r="D335" s="141">
        <v>1952.0</v>
      </c>
      <c r="E335" s="59">
        <f>E334-63.54</f>
        <v>8429.74</v>
      </c>
      <c r="F335" s="124"/>
      <c r="G335" s="121"/>
      <c r="H335" s="67"/>
      <c r="I335" s="113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2.75" customHeight="1">
      <c r="A336" s="121"/>
      <c r="B336" s="142">
        <v>42970.0</v>
      </c>
      <c r="C336" s="142">
        <v>42978.0</v>
      </c>
      <c r="D336" s="141">
        <v>2137.0</v>
      </c>
      <c r="E336" s="59">
        <f>E335-1350</f>
        <v>7079.74</v>
      </c>
      <c r="F336" s="124"/>
      <c r="G336" s="121"/>
      <c r="H336" s="67"/>
      <c r="I336" s="113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2.75" customHeight="1">
      <c r="A337" s="121"/>
      <c r="B337" s="142">
        <v>42976.0</v>
      </c>
      <c r="C337" s="142">
        <v>42979.0</v>
      </c>
      <c r="D337" s="141">
        <v>2166.0</v>
      </c>
      <c r="E337" s="59">
        <f>E336-195.31</f>
        <v>6884.43</v>
      </c>
      <c r="F337" s="124"/>
      <c r="G337" s="121"/>
      <c r="H337" s="67"/>
      <c r="I337" s="113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2.75" customHeight="1">
      <c r="A338" s="121"/>
      <c r="B338" s="142">
        <v>43024.0</v>
      </c>
      <c r="C338" s="142">
        <v>43026.0</v>
      </c>
      <c r="D338" s="141">
        <v>2432.0</v>
      </c>
      <c r="E338" s="59">
        <f>E337-158.85</f>
        <v>6725.58</v>
      </c>
      <c r="F338" s="124"/>
      <c r="G338" s="121"/>
      <c r="H338" s="67"/>
      <c r="I338" s="113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2.75" customHeight="1">
      <c r="A339" s="121"/>
      <c r="B339" s="142">
        <v>43047.0</v>
      </c>
      <c r="C339" s="142">
        <v>43061.0</v>
      </c>
      <c r="D339" s="141">
        <v>2557.0</v>
      </c>
      <c r="E339" s="59">
        <f>E338-230</f>
        <v>6495.58</v>
      </c>
      <c r="F339" s="124"/>
      <c r="G339" s="121"/>
      <c r="H339" s="67"/>
      <c r="I339" s="113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2.75" customHeight="1">
      <c r="A340" s="29" t="s">
        <v>573</v>
      </c>
      <c r="B340" s="31">
        <v>42720.0</v>
      </c>
      <c r="C340" s="32">
        <v>3035.0</v>
      </c>
      <c r="D340" s="29" t="s">
        <v>583</v>
      </c>
      <c r="E340" s="33">
        <v>1754.3</v>
      </c>
      <c r="F340" s="34">
        <v>43083.0</v>
      </c>
      <c r="G340" s="29" t="s">
        <v>586</v>
      </c>
      <c r="H340" s="1"/>
      <c r="I340" s="15"/>
      <c r="J340" s="35"/>
      <c r="K340" s="35"/>
      <c r="L340" s="3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29"/>
      <c r="B341" s="119">
        <v>42942.0</v>
      </c>
      <c r="C341" s="119">
        <v>42948.0</v>
      </c>
      <c r="D341" s="120">
        <v>1950.0</v>
      </c>
      <c r="E341" s="33">
        <f>E340-164.9</f>
        <v>1589.4</v>
      </c>
      <c r="F341" s="34"/>
      <c r="G341" s="29"/>
      <c r="H341" s="67"/>
      <c r="I341" s="113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2.75" customHeight="1">
      <c r="A342" s="29"/>
      <c r="B342" s="119">
        <v>42997.0</v>
      </c>
      <c r="C342" s="119">
        <v>43000.0</v>
      </c>
      <c r="D342" s="120">
        <v>2274.0</v>
      </c>
      <c r="E342" s="33">
        <f>E341-362.78</f>
        <v>1226.62</v>
      </c>
      <c r="F342" s="34"/>
      <c r="G342" s="29"/>
      <c r="H342" s="67"/>
      <c r="I342" s="113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2.75" customHeight="1">
      <c r="A343" s="29"/>
      <c r="B343" s="119">
        <v>43010.0</v>
      </c>
      <c r="C343" s="119">
        <v>43013.0</v>
      </c>
      <c r="D343" s="120">
        <v>2353.0</v>
      </c>
      <c r="E343" s="33">
        <f>E342-131.92</f>
        <v>1094.7</v>
      </c>
      <c r="F343" s="34"/>
      <c r="G343" s="29"/>
      <c r="H343" s="67"/>
      <c r="I343" s="113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ht="12.75" customHeight="1">
      <c r="A344" s="29"/>
      <c r="B344" s="119">
        <v>43034.0</v>
      </c>
      <c r="C344" s="119">
        <v>43045.0</v>
      </c>
      <c r="D344" s="120">
        <v>2495.0</v>
      </c>
      <c r="E344" s="33">
        <f>E343-1094.7</f>
        <v>0</v>
      </c>
      <c r="F344" s="34"/>
      <c r="G344" s="29"/>
      <c r="H344" s="67"/>
      <c r="I344" s="113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ht="12.75" customHeight="1">
      <c r="A345" s="29" t="s">
        <v>601</v>
      </c>
      <c r="B345" s="31">
        <v>42590.0</v>
      </c>
      <c r="C345" s="32">
        <v>3036.0</v>
      </c>
      <c r="D345" s="29" t="s">
        <v>602</v>
      </c>
      <c r="E345" s="33">
        <v>34999.72</v>
      </c>
      <c r="F345" s="34">
        <v>42954.0</v>
      </c>
      <c r="G345" s="29" t="s">
        <v>604</v>
      </c>
      <c r="H345" s="12"/>
      <c r="I345" s="104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2.75" customHeight="1">
      <c r="A346" s="29"/>
      <c r="B346" s="31"/>
      <c r="C346" s="32"/>
      <c r="D346" s="29"/>
      <c r="E346" s="33">
        <f>E345-2241.42</f>
        <v>32758.3</v>
      </c>
      <c r="F346" s="34"/>
      <c r="G346" s="29"/>
      <c r="H346" s="12"/>
      <c r="I346" s="104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2.75" customHeight="1">
      <c r="A347" s="29"/>
      <c r="B347" s="31"/>
      <c r="C347" s="32"/>
      <c r="D347" s="29"/>
      <c r="E347" s="33">
        <f>E346-1146.24</f>
        <v>31612.06</v>
      </c>
      <c r="F347" s="34"/>
      <c r="G347" s="29"/>
      <c r="H347" s="12"/>
      <c r="I347" s="104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2.75" customHeight="1">
      <c r="A348" s="29"/>
      <c r="B348" s="31"/>
      <c r="C348" s="32"/>
      <c r="D348" s="29"/>
      <c r="E348" s="33">
        <f>E347-3370.8</f>
        <v>28241.26</v>
      </c>
      <c r="F348" s="34"/>
      <c r="G348" s="29"/>
      <c r="H348" s="12"/>
      <c r="I348" s="104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2.75" customHeight="1">
      <c r="A349" s="29"/>
      <c r="B349" s="31"/>
      <c r="C349" s="32"/>
      <c r="D349" s="29"/>
      <c r="E349" s="33">
        <f>E348-1290.06</f>
        <v>26951.2</v>
      </c>
      <c r="F349" s="34"/>
      <c r="G349" s="29"/>
      <c r="H349" s="12"/>
      <c r="I349" s="104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2.75" customHeight="1">
      <c r="A350" s="29"/>
      <c r="B350" s="31"/>
      <c r="C350" s="32"/>
      <c r="D350" s="29"/>
      <c r="E350" s="33">
        <f>E349-3103.32</f>
        <v>23847.88</v>
      </c>
      <c r="F350" s="34"/>
      <c r="G350" s="29"/>
      <c r="H350" s="12"/>
      <c r="I350" s="104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2.75" customHeight="1">
      <c r="A351" s="29"/>
      <c r="B351" s="31"/>
      <c r="C351" s="32"/>
      <c r="D351" s="29"/>
      <c r="E351" s="33">
        <f>E350-701.64</f>
        <v>23146.24</v>
      </c>
      <c r="F351" s="34"/>
      <c r="G351" s="29"/>
      <c r="H351" s="12"/>
      <c r="I351" s="104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2.75" customHeight="1">
      <c r="A352" s="29"/>
      <c r="B352" s="31"/>
      <c r="C352" s="32"/>
      <c r="D352" s="29"/>
      <c r="E352" s="33">
        <f>E351-1146.24</f>
        <v>22000</v>
      </c>
      <c r="F352" s="34"/>
      <c r="G352" s="29"/>
      <c r="H352" s="12"/>
      <c r="I352" s="104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2.75" customHeight="1">
      <c r="A353" s="29"/>
      <c r="B353" s="119">
        <v>42823.0</v>
      </c>
      <c r="C353" s="32"/>
      <c r="D353" s="120">
        <v>11218.0</v>
      </c>
      <c r="E353" s="33">
        <f>E352-3138.86</f>
        <v>18861.14</v>
      </c>
      <c r="F353" s="34"/>
      <c r="G353" s="29"/>
      <c r="H353" s="12"/>
      <c r="I353" s="104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2.75" customHeight="1">
      <c r="A354" s="29"/>
      <c r="B354" s="119">
        <v>42832.0</v>
      </c>
      <c r="C354" s="32"/>
      <c r="D354" s="120">
        <v>11281.0</v>
      </c>
      <c r="E354" s="33">
        <f>E353-2658.66</f>
        <v>16202.48</v>
      </c>
      <c r="F354" s="34"/>
      <c r="G354" s="29"/>
      <c r="H354" s="12"/>
      <c r="I354" s="104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2.75" customHeight="1">
      <c r="A355" s="29"/>
      <c r="B355" s="119">
        <v>42859.0</v>
      </c>
      <c r="C355" s="32"/>
      <c r="D355" s="120">
        <v>11468.0</v>
      </c>
      <c r="E355" s="33">
        <f>E354-5989.13</f>
        <v>10213.35</v>
      </c>
      <c r="F355" s="34"/>
      <c r="G355" s="29"/>
      <c r="H355" s="12"/>
      <c r="I355" s="104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2.75" customHeight="1">
      <c r="A356" s="29"/>
      <c r="B356" s="119">
        <v>42872.0</v>
      </c>
      <c r="C356" s="34">
        <v>42880.0</v>
      </c>
      <c r="D356" s="120">
        <v>11545.0</v>
      </c>
      <c r="E356" s="33">
        <f>E355-10051.75</f>
        <v>161.6</v>
      </c>
      <c r="F356" s="34"/>
      <c r="G356" s="29"/>
      <c r="H356" s="12"/>
      <c r="I356" s="104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2.75" customHeight="1">
      <c r="A357" s="29"/>
      <c r="B357" s="119">
        <v>42944.0</v>
      </c>
      <c r="C357" s="34">
        <v>42955.0</v>
      </c>
      <c r="D357" s="120">
        <v>11999.0</v>
      </c>
      <c r="E357" s="33">
        <f>E356-160.8</f>
        <v>0.8</v>
      </c>
      <c r="F357" s="34"/>
      <c r="G357" s="29"/>
      <c r="H357" s="12"/>
      <c r="I357" s="104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2.75" customHeight="1">
      <c r="A358" s="121"/>
      <c r="B358" s="142"/>
      <c r="C358" s="124"/>
      <c r="D358" s="141"/>
      <c r="E358" s="155"/>
      <c r="F358" s="124"/>
      <c r="G358" s="121"/>
      <c r="H358" s="67"/>
      <c r="I358" s="113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2.75" customHeight="1">
      <c r="A359" s="29" t="s">
        <v>159</v>
      </c>
      <c r="B359" s="31">
        <v>42571.0</v>
      </c>
      <c r="C359" s="32">
        <v>3036.0</v>
      </c>
      <c r="D359" s="29" t="s">
        <v>644</v>
      </c>
      <c r="E359" s="33">
        <v>560.0</v>
      </c>
      <c r="F359" s="34">
        <v>42751.0</v>
      </c>
      <c r="G359" s="29" t="s">
        <v>645</v>
      </c>
      <c r="H359" s="1"/>
      <c r="I359" s="15"/>
      <c r="J359" s="35"/>
      <c r="K359" s="35"/>
      <c r="L359" s="3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29"/>
      <c r="B360" s="32"/>
      <c r="C360" s="32"/>
      <c r="D360" s="29"/>
      <c r="E360" s="33">
        <f>E359-448</f>
        <v>112</v>
      </c>
      <c r="F360" s="34"/>
      <c r="G360" s="29"/>
      <c r="H360" s="1"/>
      <c r="I360" s="38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29"/>
      <c r="B361" s="32"/>
      <c r="C361" s="32"/>
      <c r="D361" s="29"/>
      <c r="E361" s="33">
        <f>E360-112</f>
        <v>0</v>
      </c>
      <c r="F361" s="34"/>
      <c r="G361" s="29"/>
      <c r="H361" s="1"/>
      <c r="I361" s="38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29" t="s">
        <v>159</v>
      </c>
      <c r="B362" s="34">
        <v>42696.0</v>
      </c>
      <c r="C362" s="32">
        <v>3036.0</v>
      </c>
      <c r="D362" s="29" t="s">
        <v>647</v>
      </c>
      <c r="E362" s="33">
        <v>1800.0</v>
      </c>
      <c r="F362" s="34">
        <v>43047.0</v>
      </c>
      <c r="G362" s="29" t="s">
        <v>568</v>
      </c>
      <c r="H362" s="1"/>
      <c r="I362" s="15"/>
      <c r="J362" s="35"/>
      <c r="K362" s="35"/>
      <c r="L362" s="3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29"/>
      <c r="B363" s="34"/>
      <c r="C363" s="32"/>
      <c r="D363" s="29"/>
      <c r="E363" s="33">
        <f>E362-1800</f>
        <v>0</v>
      </c>
      <c r="F363" s="34"/>
      <c r="G363" s="29"/>
      <c r="H363" s="1"/>
      <c r="I363" s="38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29" t="s">
        <v>159</v>
      </c>
      <c r="B364" s="125">
        <v>42716.0</v>
      </c>
      <c r="C364" s="32">
        <v>3036.0</v>
      </c>
      <c r="D364" s="29" t="s">
        <v>651</v>
      </c>
      <c r="E364" s="33">
        <v>7062.85</v>
      </c>
      <c r="F364" s="34">
        <v>42897.0</v>
      </c>
      <c r="G364" s="29" t="s">
        <v>653</v>
      </c>
      <c r="H364" s="1"/>
      <c r="I364" s="1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29"/>
      <c r="B365" s="125"/>
      <c r="C365" s="32"/>
      <c r="D365" s="29"/>
      <c r="E365" s="33">
        <f>E364-1125</f>
        <v>5937.85</v>
      </c>
      <c r="F365" s="34"/>
      <c r="G365" s="29"/>
      <c r="H365" s="1"/>
      <c r="I365" s="1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29"/>
      <c r="B366" s="125"/>
      <c r="C366" s="32"/>
      <c r="D366" s="29"/>
      <c r="E366" s="33">
        <f>E365-4071.65</f>
        <v>1866.2</v>
      </c>
      <c r="F366" s="34"/>
      <c r="G366" s="29"/>
      <c r="H366" s="1"/>
      <c r="I366" s="1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29"/>
      <c r="B367" s="125"/>
      <c r="C367" s="32"/>
      <c r="D367" s="29"/>
      <c r="E367" s="33">
        <f>E366-388.8</f>
        <v>1477.4</v>
      </c>
      <c r="F367" s="34"/>
      <c r="G367" s="29"/>
      <c r="H367" s="1"/>
      <c r="I367" s="1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29"/>
      <c r="B368" s="125"/>
      <c r="C368" s="32"/>
      <c r="D368" s="29"/>
      <c r="E368" s="33">
        <f>E367-957.5</f>
        <v>519.9</v>
      </c>
      <c r="F368" s="34"/>
      <c r="G368" s="29"/>
      <c r="H368" s="1"/>
      <c r="I368" s="1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29"/>
      <c r="B369" s="160">
        <v>42774.0</v>
      </c>
      <c r="C369" s="32"/>
      <c r="D369" s="161">
        <v>23378.0</v>
      </c>
      <c r="E369" s="33">
        <f>E368-519.9</f>
        <v>0</v>
      </c>
      <c r="F369" s="34"/>
      <c r="G369" s="29"/>
      <c r="H369" s="1"/>
      <c r="I369" s="1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52" t="s">
        <v>159</v>
      </c>
      <c r="B370" s="53">
        <v>42718.0</v>
      </c>
      <c r="C370" s="54">
        <v>3036.0</v>
      </c>
      <c r="D370" s="52" t="s">
        <v>665</v>
      </c>
      <c r="E370" s="55">
        <v>198.9</v>
      </c>
      <c r="F370" s="56">
        <v>43066.0</v>
      </c>
      <c r="G370" s="52" t="s">
        <v>457</v>
      </c>
      <c r="H370" s="1"/>
      <c r="I370" s="15"/>
      <c r="J370" s="67"/>
      <c r="K370" s="67"/>
      <c r="L370" s="67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52" t="s">
        <v>666</v>
      </c>
      <c r="B371" s="53">
        <v>42570.0</v>
      </c>
      <c r="C371" s="54">
        <v>3916.0</v>
      </c>
      <c r="D371" s="52" t="s">
        <v>667</v>
      </c>
      <c r="E371" s="55">
        <v>18999.32</v>
      </c>
      <c r="F371" s="56">
        <v>42934.0</v>
      </c>
      <c r="G371" s="52" t="s">
        <v>668</v>
      </c>
      <c r="H371" s="1"/>
      <c r="I371" s="15"/>
      <c r="J371" s="49"/>
      <c r="K371" s="49"/>
      <c r="L371" s="4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50"/>
      <c r="B372" s="57"/>
      <c r="C372" s="58"/>
      <c r="D372" s="50"/>
      <c r="E372" s="59">
        <f t="shared" ref="E372:E380" si="5">E371-2111.03</f>
        <v>16888.29</v>
      </c>
      <c r="F372" s="60"/>
      <c r="G372" s="50"/>
      <c r="H372" s="1"/>
      <c r="I372" s="51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2.75" customHeight="1">
      <c r="A373" s="50"/>
      <c r="B373" s="57"/>
      <c r="C373" s="58"/>
      <c r="D373" s="50"/>
      <c r="E373" s="59">
        <f t="shared" si="5"/>
        <v>14777.26</v>
      </c>
      <c r="F373" s="60"/>
      <c r="G373" s="50"/>
      <c r="H373" s="1"/>
      <c r="I373" s="51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2.75" customHeight="1">
      <c r="A374" s="50"/>
      <c r="B374" s="57"/>
      <c r="C374" s="58"/>
      <c r="D374" s="50"/>
      <c r="E374" s="59">
        <f t="shared" si="5"/>
        <v>12666.23</v>
      </c>
      <c r="F374" s="60"/>
      <c r="G374" s="50"/>
      <c r="H374" s="1"/>
      <c r="I374" s="51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2.75" customHeight="1">
      <c r="A375" s="50"/>
      <c r="B375" s="162">
        <v>42795.0</v>
      </c>
      <c r="C375" s="58"/>
      <c r="D375" s="163">
        <v>6883.0</v>
      </c>
      <c r="E375" s="59">
        <f t="shared" si="5"/>
        <v>10555.2</v>
      </c>
      <c r="F375" s="60"/>
      <c r="G375" s="50"/>
      <c r="H375" s="1"/>
      <c r="I375" s="51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2.75" customHeight="1">
      <c r="A376" s="50"/>
      <c r="B376" s="162">
        <v>42828.0</v>
      </c>
      <c r="C376" s="58"/>
      <c r="D376" s="163">
        <v>7010.0</v>
      </c>
      <c r="E376" s="59">
        <f t="shared" si="5"/>
        <v>8444.17</v>
      </c>
      <c r="F376" s="60"/>
      <c r="G376" s="50"/>
      <c r="H376" s="1"/>
      <c r="I376" s="51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2.75" customHeight="1">
      <c r="A377" s="50"/>
      <c r="B377" s="162">
        <v>42857.0</v>
      </c>
      <c r="C377" s="58"/>
      <c r="D377" s="163">
        <v>7132.0</v>
      </c>
      <c r="E377" s="59">
        <f t="shared" si="5"/>
        <v>6333.14</v>
      </c>
      <c r="F377" s="60"/>
      <c r="G377" s="50"/>
      <c r="H377" s="1"/>
      <c r="I377" s="51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2.75" customHeight="1">
      <c r="A378" s="50"/>
      <c r="B378" s="162">
        <v>42887.0</v>
      </c>
      <c r="C378" s="162">
        <v>42891.0</v>
      </c>
      <c r="D378" s="163">
        <v>7254.0</v>
      </c>
      <c r="E378" s="59">
        <f t="shared" si="5"/>
        <v>4222.11</v>
      </c>
      <c r="F378" s="60"/>
      <c r="G378" s="50"/>
      <c r="H378" s="1"/>
      <c r="I378" s="51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2.75" customHeight="1">
      <c r="A379" s="50"/>
      <c r="B379" s="162" t="s">
        <v>678</v>
      </c>
      <c r="C379" s="162">
        <v>42926.0</v>
      </c>
      <c r="D379" s="163">
        <v>7377.0</v>
      </c>
      <c r="E379" s="59">
        <f t="shared" si="5"/>
        <v>2111.08</v>
      </c>
      <c r="F379" s="60"/>
      <c r="G379" s="50"/>
      <c r="H379" s="1"/>
      <c r="I379" s="51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2.75" customHeight="1">
      <c r="A380" s="50"/>
      <c r="B380" s="162">
        <v>42948.0</v>
      </c>
      <c r="C380" s="162">
        <v>42954.0</v>
      </c>
      <c r="D380" s="163">
        <v>7505.0</v>
      </c>
      <c r="E380" s="59">
        <f t="shared" si="5"/>
        <v>0.05</v>
      </c>
      <c r="F380" s="60"/>
      <c r="G380" s="50"/>
      <c r="H380" s="1"/>
      <c r="I380" s="51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2.75" customHeight="1">
      <c r="A381" s="52" t="s">
        <v>679</v>
      </c>
      <c r="B381" s="53">
        <v>42583.0</v>
      </c>
      <c r="C381" s="54">
        <v>3009.0</v>
      </c>
      <c r="D381" s="52" t="s">
        <v>680</v>
      </c>
      <c r="E381" s="55">
        <v>625.0</v>
      </c>
      <c r="F381" s="56">
        <v>42923.0</v>
      </c>
      <c r="G381" s="52" t="s">
        <v>564</v>
      </c>
      <c r="H381" s="1"/>
      <c r="I381" s="15"/>
      <c r="J381" s="35"/>
      <c r="K381" s="35"/>
      <c r="L381" s="3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21"/>
      <c r="B382" s="165">
        <v>42844.0</v>
      </c>
      <c r="C382" s="157"/>
      <c r="D382" s="166">
        <v>296392.0</v>
      </c>
      <c r="E382" s="59">
        <f>E381-615.6</f>
        <v>9.4</v>
      </c>
      <c r="F382" s="124"/>
      <c r="G382" s="121"/>
      <c r="H382" s="1"/>
      <c r="I382" s="15"/>
      <c r="J382" s="35"/>
      <c r="K382" s="35"/>
      <c r="L382" s="3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44" t="s">
        <v>683</v>
      </c>
      <c r="B383" s="45">
        <v>42468.0</v>
      </c>
      <c r="C383" s="46">
        <v>3036.0</v>
      </c>
      <c r="D383" s="44" t="s">
        <v>684</v>
      </c>
      <c r="E383" s="47">
        <v>975.6</v>
      </c>
      <c r="F383" s="48">
        <v>42832.0</v>
      </c>
      <c r="G383" s="44" t="s">
        <v>685</v>
      </c>
      <c r="H383" s="30" t="s">
        <v>22</v>
      </c>
      <c r="I383" s="15"/>
      <c r="J383" s="49"/>
      <c r="K383" s="49"/>
      <c r="L383" s="4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29" t="s">
        <v>686</v>
      </c>
      <c r="B384" s="31">
        <v>42586.0</v>
      </c>
      <c r="C384" s="32">
        <v>3950.0</v>
      </c>
      <c r="D384" s="29" t="s">
        <v>687</v>
      </c>
      <c r="E384" s="33">
        <v>61208.95</v>
      </c>
      <c r="F384" s="34">
        <v>42950.0</v>
      </c>
      <c r="G384" s="29" t="s">
        <v>688</v>
      </c>
      <c r="H384" s="1" t="s">
        <v>689</v>
      </c>
      <c r="I384" s="15"/>
      <c r="J384" s="35"/>
      <c r="K384" s="35"/>
      <c r="L384" s="3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29"/>
      <c r="B385" s="31"/>
      <c r="C385" s="32"/>
      <c r="D385" s="29"/>
      <c r="E385" s="33">
        <v>38528.65</v>
      </c>
      <c r="F385" s="34"/>
      <c r="G385" s="29"/>
      <c r="H385" s="1"/>
      <c r="I385" s="38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29"/>
      <c r="B386" s="31"/>
      <c r="C386" s="32"/>
      <c r="D386" s="29"/>
      <c r="E386" s="33">
        <f>E385-7050.5+5594.4</f>
        <v>37072.55</v>
      </c>
      <c r="F386" s="34"/>
      <c r="G386" s="29"/>
      <c r="H386" s="1"/>
      <c r="I386" s="38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29"/>
      <c r="B387" s="160">
        <v>42795.0</v>
      </c>
      <c r="C387" s="32"/>
      <c r="D387" s="161">
        <v>1322.0</v>
      </c>
      <c r="E387" s="33">
        <f>E386-7683.2</f>
        <v>29389.35</v>
      </c>
      <c r="F387" s="34"/>
      <c r="G387" s="29"/>
      <c r="H387" s="1"/>
      <c r="I387" s="38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29"/>
      <c r="B388" s="160">
        <v>42828.0</v>
      </c>
      <c r="C388" s="32"/>
      <c r="D388" s="161">
        <v>1383.0</v>
      </c>
      <c r="E388" s="33">
        <f>E387-9092.9</f>
        <v>20296.45</v>
      </c>
      <c r="F388" s="34"/>
      <c r="G388" s="29"/>
      <c r="H388" s="1"/>
      <c r="I388" s="38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29"/>
      <c r="B389" s="160">
        <v>42857.0</v>
      </c>
      <c r="C389" s="160">
        <v>42870.0</v>
      </c>
      <c r="D389" s="161">
        <v>1436.0</v>
      </c>
      <c r="E389" s="33">
        <f>E388-9244.75</f>
        <v>11051.7</v>
      </c>
      <c r="F389" s="34"/>
      <c r="G389" s="29"/>
      <c r="H389" s="1"/>
      <c r="I389" s="38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29"/>
      <c r="B390" s="160">
        <v>42887.0</v>
      </c>
      <c r="C390" s="160">
        <v>42899.0</v>
      </c>
      <c r="D390" s="161">
        <v>1522.0</v>
      </c>
      <c r="E390" s="33">
        <f>E389-8101.33</f>
        <v>2950.37</v>
      </c>
      <c r="F390" s="34"/>
      <c r="G390" s="29"/>
      <c r="H390" s="1"/>
      <c r="I390" s="38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29"/>
      <c r="B391" s="160">
        <v>42920.0</v>
      </c>
      <c r="C391" s="160">
        <v>42923.0</v>
      </c>
      <c r="D391" s="161">
        <v>1561.0</v>
      </c>
      <c r="E391" s="33">
        <f>E390-2950.37</f>
        <v>0</v>
      </c>
      <c r="F391" s="34"/>
      <c r="G391" s="29"/>
      <c r="H391" s="1"/>
      <c r="I391" s="38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44" t="s">
        <v>690</v>
      </c>
      <c r="B392" s="45">
        <v>42558.0</v>
      </c>
      <c r="C392" s="58"/>
      <c r="D392" s="44" t="s">
        <v>691</v>
      </c>
      <c r="E392" s="47">
        <v>2.25</v>
      </c>
      <c r="F392" s="48">
        <v>42907.0</v>
      </c>
      <c r="G392" s="44" t="s">
        <v>273</v>
      </c>
      <c r="H392" s="30" t="s">
        <v>22</v>
      </c>
      <c r="I392" s="1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29" t="s">
        <v>692</v>
      </c>
      <c r="B393" s="31">
        <v>42612.0</v>
      </c>
      <c r="C393" s="32">
        <v>3022.0</v>
      </c>
      <c r="D393" s="29" t="s">
        <v>693</v>
      </c>
      <c r="E393" s="33">
        <v>3725.0</v>
      </c>
      <c r="F393" s="34">
        <v>42965.0</v>
      </c>
      <c r="G393" s="29" t="s">
        <v>694</v>
      </c>
      <c r="H393" s="1"/>
      <c r="I393" s="1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29"/>
      <c r="B394" s="31"/>
      <c r="C394" s="31"/>
      <c r="D394" s="29"/>
      <c r="E394" s="33">
        <f>E393-3725</f>
        <v>0</v>
      </c>
      <c r="F394" s="34"/>
      <c r="G394" s="29"/>
      <c r="H394" s="1"/>
      <c r="I394" s="1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29" t="s">
        <v>692</v>
      </c>
      <c r="B395" s="31">
        <v>42612.0</v>
      </c>
      <c r="C395" s="32">
        <v>3022.0</v>
      </c>
      <c r="D395" s="29" t="s">
        <v>695</v>
      </c>
      <c r="E395" s="33">
        <v>21002.5</v>
      </c>
      <c r="F395" s="34">
        <v>42965.0</v>
      </c>
      <c r="G395" s="29" t="s">
        <v>694</v>
      </c>
      <c r="H395" s="1"/>
      <c r="I395" s="1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29"/>
      <c r="B396" s="31"/>
      <c r="C396" s="31"/>
      <c r="D396" s="29"/>
      <c r="E396" s="33">
        <f>E395-21002.5</f>
        <v>0</v>
      </c>
      <c r="F396" s="34"/>
      <c r="G396" s="29"/>
      <c r="H396" s="1"/>
      <c r="I396" s="1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29" t="s">
        <v>696</v>
      </c>
      <c r="B397" s="31">
        <v>42720.0</v>
      </c>
      <c r="C397" s="32">
        <v>3009.0</v>
      </c>
      <c r="D397" s="29" t="s">
        <v>697</v>
      </c>
      <c r="E397" s="33">
        <v>10715.2</v>
      </c>
      <c r="F397" s="34"/>
      <c r="G397" s="29" t="s">
        <v>342</v>
      </c>
      <c r="H397" s="12"/>
      <c r="I397" s="104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2.75" customHeight="1">
      <c r="A398" s="29"/>
      <c r="B398" s="31">
        <v>42985.0</v>
      </c>
      <c r="C398" s="109">
        <v>43005.0</v>
      </c>
      <c r="D398" s="29">
        <v>781014.0</v>
      </c>
      <c r="E398" s="33">
        <f>E397-10715.2</f>
        <v>0</v>
      </c>
      <c r="F398" s="34"/>
      <c r="G398" s="29"/>
      <c r="H398" s="12"/>
      <c r="I398" s="104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2.75" customHeight="1">
      <c r="A399" s="29" t="s">
        <v>698</v>
      </c>
      <c r="B399" s="31">
        <v>42590.0</v>
      </c>
      <c r="C399" s="32">
        <v>3036.0</v>
      </c>
      <c r="D399" s="29" t="s">
        <v>699</v>
      </c>
      <c r="E399" s="33">
        <v>12999.9</v>
      </c>
      <c r="F399" s="34">
        <v>42954.0</v>
      </c>
      <c r="G399" s="29" t="s">
        <v>700</v>
      </c>
      <c r="H399" s="12"/>
      <c r="I399" s="104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2.75" customHeight="1">
      <c r="A400" s="29"/>
      <c r="B400" s="31">
        <v>42951.0</v>
      </c>
      <c r="C400" s="109">
        <v>42969.0</v>
      </c>
      <c r="D400" s="29">
        <v>12425.0</v>
      </c>
      <c r="E400" s="33">
        <f>E399-12999.9</f>
        <v>0</v>
      </c>
      <c r="F400" s="34"/>
      <c r="G400" s="29"/>
      <c r="H400" s="12"/>
      <c r="I400" s="104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2.75" customHeight="1">
      <c r="A401" s="29" t="s">
        <v>701</v>
      </c>
      <c r="B401" s="31">
        <v>42720.0</v>
      </c>
      <c r="C401" s="32">
        <v>3009.0</v>
      </c>
      <c r="D401" s="29" t="s">
        <v>702</v>
      </c>
      <c r="E401" s="33">
        <v>2172.0</v>
      </c>
      <c r="F401" s="34"/>
      <c r="G401" s="29" t="s">
        <v>342</v>
      </c>
      <c r="H401" s="12"/>
      <c r="I401" s="104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2.75" customHeight="1">
      <c r="A402" s="29"/>
      <c r="B402" s="31">
        <v>42983.0</v>
      </c>
      <c r="C402" s="109">
        <v>43005.0</v>
      </c>
      <c r="D402" s="29">
        <v>264936.0</v>
      </c>
      <c r="E402" s="33">
        <f>E401-2172</f>
        <v>0</v>
      </c>
      <c r="F402" s="34"/>
      <c r="G402" s="29"/>
      <c r="H402" s="12"/>
      <c r="I402" s="104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2.75" customHeight="1">
      <c r="A403" s="29" t="s">
        <v>703</v>
      </c>
      <c r="B403" s="31">
        <v>42675.0</v>
      </c>
      <c r="C403" s="32">
        <v>3950.0</v>
      </c>
      <c r="D403" s="29" t="s">
        <v>704</v>
      </c>
      <c r="E403" s="33">
        <v>223000.0</v>
      </c>
      <c r="F403" s="34">
        <v>43025.0</v>
      </c>
      <c r="G403" s="29" t="s">
        <v>705</v>
      </c>
      <c r="H403" s="1"/>
      <c r="I403" s="1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29"/>
      <c r="B404" s="31"/>
      <c r="C404" s="32"/>
      <c r="D404" s="29"/>
      <c r="E404" s="33">
        <f>E403-8176.51</f>
        <v>214823.49</v>
      </c>
      <c r="F404" s="34"/>
      <c r="G404" s="29"/>
      <c r="H404" s="1"/>
      <c r="I404" s="1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29"/>
      <c r="B405" s="31"/>
      <c r="C405" s="32"/>
      <c r="D405" s="29"/>
      <c r="E405" s="33">
        <f>E404-37202.83</f>
        <v>177620.66</v>
      </c>
      <c r="F405" s="34"/>
      <c r="G405" s="29"/>
      <c r="H405" s="1"/>
      <c r="I405" s="1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29"/>
      <c r="B406" s="151">
        <v>42780.0</v>
      </c>
      <c r="C406" s="32"/>
      <c r="D406" s="152">
        <v>165.0</v>
      </c>
      <c r="E406" s="33">
        <f>E405-30617.08</f>
        <v>147003.58</v>
      </c>
      <c r="F406" s="34"/>
      <c r="G406" s="29"/>
      <c r="H406" s="1"/>
      <c r="I406" s="1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29"/>
      <c r="B407" s="151">
        <v>42811.0</v>
      </c>
      <c r="C407" s="32"/>
      <c r="D407" s="152">
        <v>173.0</v>
      </c>
      <c r="E407" s="33">
        <f>E406-40879.14</f>
        <v>106124.44</v>
      </c>
      <c r="F407" s="34"/>
      <c r="G407" s="29"/>
      <c r="H407" s="1"/>
      <c r="I407" s="1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29"/>
      <c r="B408" s="151">
        <v>42836.0</v>
      </c>
      <c r="C408" s="32"/>
      <c r="D408" s="152">
        <v>181.0</v>
      </c>
      <c r="E408" s="33">
        <f>E407-42182.79</f>
        <v>63941.65</v>
      </c>
      <c r="F408" s="34"/>
      <c r="G408" s="29"/>
      <c r="H408" s="1"/>
      <c r="I408" s="1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29"/>
      <c r="B409" s="151">
        <v>42878.0</v>
      </c>
      <c r="C409" s="151">
        <v>42887.0</v>
      </c>
      <c r="D409" s="152">
        <v>199.0</v>
      </c>
      <c r="E409" s="33">
        <f>E408-29829.41</f>
        <v>34112.24</v>
      </c>
      <c r="F409" s="34"/>
      <c r="G409" s="29"/>
      <c r="H409" s="1"/>
      <c r="I409" s="1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29"/>
      <c r="B410" s="151">
        <v>42914.0</v>
      </c>
      <c r="C410" s="151">
        <v>42922.0</v>
      </c>
      <c r="D410" s="152">
        <v>225.0</v>
      </c>
      <c r="E410" s="33">
        <f>E409-34112.24</f>
        <v>0</v>
      </c>
      <c r="F410" s="34"/>
      <c r="G410" s="29"/>
      <c r="H410" s="1"/>
      <c r="I410" s="1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52" t="s">
        <v>703</v>
      </c>
      <c r="B411" s="53">
        <v>42675.0</v>
      </c>
      <c r="C411" s="54">
        <v>3950.0</v>
      </c>
      <c r="D411" s="52" t="s">
        <v>706</v>
      </c>
      <c r="E411" s="55">
        <v>55000.0</v>
      </c>
      <c r="F411" s="56">
        <v>43025.0</v>
      </c>
      <c r="G411" s="52" t="s">
        <v>707</v>
      </c>
      <c r="H411" s="19" t="s">
        <v>13</v>
      </c>
      <c r="I411" s="1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50"/>
      <c r="B412" s="153">
        <v>42811.0</v>
      </c>
      <c r="C412" s="58"/>
      <c r="D412" s="154">
        <v>174.0</v>
      </c>
      <c r="E412" s="59">
        <f>E411-3528</f>
        <v>51472</v>
      </c>
      <c r="F412" s="60"/>
      <c r="G412" s="50"/>
      <c r="H412" s="1"/>
      <c r="I412" s="1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50"/>
      <c r="B413" s="153">
        <v>42836.0</v>
      </c>
      <c r="C413" s="58"/>
      <c r="D413" s="154">
        <v>182.0</v>
      </c>
      <c r="E413" s="59">
        <f>E412-5418</f>
        <v>46054</v>
      </c>
      <c r="F413" s="60"/>
      <c r="G413" s="50"/>
      <c r="H413" s="1"/>
      <c r="I413" s="1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50"/>
      <c r="B414" s="153">
        <v>42878.0</v>
      </c>
      <c r="C414" s="153">
        <v>42887.0</v>
      </c>
      <c r="D414" s="154">
        <v>197.0</v>
      </c>
      <c r="E414" s="59">
        <f>E413-4872</f>
        <v>41182</v>
      </c>
      <c r="F414" s="60"/>
      <c r="G414" s="50"/>
      <c r="H414" s="1"/>
      <c r="I414" s="1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50"/>
      <c r="B415" s="153">
        <v>42914.0</v>
      </c>
      <c r="C415" s="153">
        <v>42922.0</v>
      </c>
      <c r="D415" s="154">
        <v>226.0</v>
      </c>
      <c r="E415" s="59">
        <f>E414-5670</f>
        <v>35512</v>
      </c>
      <c r="F415" s="60"/>
      <c r="G415" s="50"/>
      <c r="H415" s="1"/>
      <c r="I415" s="1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50"/>
      <c r="B416" s="153">
        <v>42926.0</v>
      </c>
      <c r="C416" s="153">
        <v>42930.0</v>
      </c>
      <c r="D416" s="154">
        <v>235.0</v>
      </c>
      <c r="E416" s="59">
        <v>33370.0</v>
      </c>
      <c r="F416" s="60"/>
      <c r="G416" s="50"/>
      <c r="H416" s="1"/>
      <c r="I416" s="1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50"/>
      <c r="B417" s="153">
        <v>42962.0</v>
      </c>
      <c r="C417" s="153">
        <v>42971.0</v>
      </c>
      <c r="D417" s="154">
        <v>263.0</v>
      </c>
      <c r="E417" s="59">
        <f>E416-6426</f>
        <v>26944</v>
      </c>
      <c r="F417" s="60"/>
      <c r="G417" s="50"/>
      <c r="H417" s="1"/>
      <c r="I417" s="1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50"/>
      <c r="B418" s="153">
        <v>42992.0</v>
      </c>
      <c r="C418" s="153">
        <v>43003.0</v>
      </c>
      <c r="D418" s="154">
        <v>284.0</v>
      </c>
      <c r="E418" s="59">
        <f>E417-7014</f>
        <v>19930</v>
      </c>
      <c r="F418" s="60"/>
      <c r="G418" s="50"/>
      <c r="H418" s="1"/>
      <c r="I418" s="1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50"/>
      <c r="B419" s="153">
        <v>43019.0</v>
      </c>
      <c r="C419" s="153">
        <v>43033.0</v>
      </c>
      <c r="D419" s="154">
        <v>294.0</v>
      </c>
      <c r="E419" s="59">
        <f>E418-5670</f>
        <v>14260</v>
      </c>
      <c r="F419" s="60"/>
      <c r="G419" s="50"/>
      <c r="H419" s="1"/>
      <c r="I419" s="1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50"/>
      <c r="B420" s="153">
        <v>43053.0</v>
      </c>
      <c r="C420" s="153">
        <v>43062.0</v>
      </c>
      <c r="D420" s="154">
        <v>320.0</v>
      </c>
      <c r="E420" s="59">
        <f>E419-7434</f>
        <v>6826</v>
      </c>
      <c r="F420" s="60"/>
      <c r="G420" s="50"/>
      <c r="H420" s="1"/>
      <c r="I420" s="1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29" t="s">
        <v>708</v>
      </c>
      <c r="B421" s="31">
        <v>42720.0</v>
      </c>
      <c r="C421" s="32">
        <v>3036.0</v>
      </c>
      <c r="D421" s="29" t="s">
        <v>709</v>
      </c>
      <c r="E421" s="33">
        <v>1330.0</v>
      </c>
      <c r="F421" s="34"/>
      <c r="G421" s="29" t="s">
        <v>452</v>
      </c>
      <c r="H421" s="1"/>
      <c r="I421" s="1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29"/>
      <c r="B422" s="151">
        <v>42781.0</v>
      </c>
      <c r="C422" s="32"/>
      <c r="D422" s="152">
        <v>19742.0</v>
      </c>
      <c r="E422" s="33">
        <f>E421-1330</f>
        <v>0</v>
      </c>
      <c r="F422" s="34"/>
      <c r="G422" s="29"/>
      <c r="H422" s="67"/>
      <c r="I422" s="113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ht="12.75" customHeight="1">
      <c r="A423" s="29" t="s">
        <v>191</v>
      </c>
      <c r="B423" s="31">
        <v>42571.0</v>
      </c>
      <c r="C423" s="32">
        <v>3950.0</v>
      </c>
      <c r="D423" s="29" t="s">
        <v>710</v>
      </c>
      <c r="E423" s="33">
        <v>27551.25</v>
      </c>
      <c r="F423" s="34">
        <v>42935.0</v>
      </c>
      <c r="G423" s="29" t="s">
        <v>711</v>
      </c>
      <c r="H423" s="1"/>
      <c r="I423" s="1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29"/>
      <c r="B424" s="32"/>
      <c r="C424" s="32"/>
      <c r="D424" s="29"/>
      <c r="E424" s="33">
        <f>E423-6772.07</f>
        <v>20779.18</v>
      </c>
      <c r="F424" s="34"/>
      <c r="G424" s="29"/>
      <c r="H424" s="1"/>
      <c r="I424" s="1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29"/>
      <c r="B425" s="151">
        <v>42776.0</v>
      </c>
      <c r="C425" s="32"/>
      <c r="D425" s="152">
        <v>43427.0</v>
      </c>
      <c r="E425" s="33">
        <f>E424-521.01</f>
        <v>20258.17</v>
      </c>
      <c r="F425" s="34"/>
      <c r="G425" s="29"/>
      <c r="H425" s="1"/>
      <c r="I425" s="1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29"/>
      <c r="B426" s="151">
        <v>42860.0</v>
      </c>
      <c r="C426" s="32"/>
      <c r="D426" s="152">
        <v>45043.0</v>
      </c>
      <c r="E426" s="33">
        <f>E425-17147.9</f>
        <v>3110.27</v>
      </c>
      <c r="F426" s="34"/>
      <c r="G426" s="29"/>
      <c r="H426" s="1"/>
      <c r="I426" s="1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29"/>
      <c r="B427" s="151">
        <v>42807.0</v>
      </c>
      <c r="C427" s="151">
        <v>42887.0</v>
      </c>
      <c r="D427" s="152">
        <v>43904.0</v>
      </c>
      <c r="E427" s="33">
        <f>E426-1535.87</f>
        <v>1574.4</v>
      </c>
      <c r="F427" s="34"/>
      <c r="G427" s="29"/>
      <c r="H427" s="1"/>
      <c r="I427" s="1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29"/>
      <c r="B428" s="151">
        <v>42866.0</v>
      </c>
      <c r="C428" s="151">
        <v>42887.0</v>
      </c>
      <c r="D428" s="152">
        <v>45090.0</v>
      </c>
      <c r="E428" s="33">
        <f>E427-1574.4</f>
        <v>0</v>
      </c>
      <c r="F428" s="34"/>
      <c r="G428" s="29"/>
      <c r="H428" s="1"/>
      <c r="I428" s="1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29" t="s">
        <v>712</v>
      </c>
      <c r="B429" s="31">
        <v>42496.0</v>
      </c>
      <c r="C429" s="32">
        <v>3950.0</v>
      </c>
      <c r="D429" s="29" t="s">
        <v>713</v>
      </c>
      <c r="E429" s="33">
        <v>154488.34</v>
      </c>
      <c r="F429" s="34">
        <v>42862.0</v>
      </c>
      <c r="G429" s="29" t="s">
        <v>714</v>
      </c>
      <c r="H429" s="1"/>
      <c r="I429" s="1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29"/>
      <c r="B430" s="32"/>
      <c r="C430" s="32"/>
      <c r="D430" s="29"/>
      <c r="E430" s="33">
        <f>E429-80142.65</f>
        <v>74345.69</v>
      </c>
      <c r="F430" s="34"/>
      <c r="G430" s="29"/>
      <c r="H430" s="1"/>
      <c r="I430" s="1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29"/>
      <c r="B431" s="151">
        <v>42746.0</v>
      </c>
      <c r="C431" s="32"/>
      <c r="D431" s="152">
        <v>13517.0</v>
      </c>
      <c r="E431" s="33">
        <f>E430-74345.69</f>
        <v>0</v>
      </c>
      <c r="F431" s="34"/>
      <c r="G431" s="29"/>
      <c r="H431" s="1"/>
      <c r="I431" s="1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29" t="s">
        <v>715</v>
      </c>
      <c r="B432" s="34">
        <v>42675.0</v>
      </c>
      <c r="C432" s="32">
        <v>3007.0</v>
      </c>
      <c r="D432" s="29" t="s">
        <v>716</v>
      </c>
      <c r="E432" s="33">
        <v>2880.0</v>
      </c>
      <c r="F432" s="34">
        <v>43018.0</v>
      </c>
      <c r="G432" s="29" t="s">
        <v>717</v>
      </c>
      <c r="H432" s="1"/>
      <c r="I432" s="1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29"/>
      <c r="B433" s="34"/>
      <c r="C433" s="34"/>
      <c r="D433" s="29"/>
      <c r="E433" s="33">
        <f>E432-2880</f>
        <v>0</v>
      </c>
      <c r="F433" s="34"/>
      <c r="G433" s="29"/>
      <c r="H433" s="1"/>
      <c r="I433" s="1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29" t="s">
        <v>718</v>
      </c>
      <c r="B434" s="31">
        <v>42590.0</v>
      </c>
      <c r="C434" s="32">
        <v>3036.0</v>
      </c>
      <c r="D434" s="29" t="s">
        <v>719</v>
      </c>
      <c r="E434" s="33">
        <v>14700.0</v>
      </c>
      <c r="F434" s="34">
        <v>42954.0</v>
      </c>
      <c r="G434" s="29" t="s">
        <v>720</v>
      </c>
      <c r="H434" s="1"/>
      <c r="I434" s="1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29"/>
      <c r="B435" s="119">
        <v>42927.0</v>
      </c>
      <c r="C435" s="119">
        <v>42927.0</v>
      </c>
      <c r="D435" s="120">
        <v>45837.0</v>
      </c>
      <c r="E435" s="33">
        <f>E434-14700</f>
        <v>0</v>
      </c>
      <c r="F435" s="34"/>
      <c r="G435" s="29"/>
      <c r="H435" s="113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2.75" customHeight="1">
      <c r="A436" s="29" t="s">
        <v>718</v>
      </c>
      <c r="B436" s="31">
        <v>42716.0</v>
      </c>
      <c r="C436" s="32">
        <v>3036.0</v>
      </c>
      <c r="D436" s="29" t="s">
        <v>721</v>
      </c>
      <c r="E436" s="33">
        <v>1170.0</v>
      </c>
      <c r="F436" s="34">
        <v>42897.0</v>
      </c>
      <c r="G436" s="29" t="s">
        <v>722</v>
      </c>
      <c r="H436" s="1"/>
      <c r="I436" s="1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29"/>
      <c r="B437" s="31"/>
      <c r="C437" s="32"/>
      <c r="D437" s="29"/>
      <c r="E437" s="33">
        <f>E436-1170</f>
        <v>0</v>
      </c>
      <c r="F437" s="34"/>
      <c r="G437" s="29"/>
      <c r="H437" s="1"/>
      <c r="I437" s="1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52" t="s">
        <v>723</v>
      </c>
      <c r="B438" s="53">
        <v>42720.0</v>
      </c>
      <c r="C438" s="54">
        <v>3035.0</v>
      </c>
      <c r="D438" s="52" t="s">
        <v>724</v>
      </c>
      <c r="E438" s="55">
        <v>18231.0</v>
      </c>
      <c r="F438" s="56"/>
      <c r="G438" s="52" t="s">
        <v>215</v>
      </c>
      <c r="H438" s="16"/>
      <c r="I438" s="85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2.75" customHeight="1">
      <c r="A439" s="50"/>
      <c r="B439" s="122">
        <v>42818.0</v>
      </c>
      <c r="C439" s="167">
        <v>42880.0</v>
      </c>
      <c r="D439" s="123">
        <v>1665.0</v>
      </c>
      <c r="E439" s="59">
        <f>E438-604.9</f>
        <v>17626.1</v>
      </c>
      <c r="F439" s="60"/>
      <c r="G439" s="50"/>
      <c r="H439" s="1"/>
      <c r="I439" s="1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50"/>
      <c r="B440" s="122">
        <v>42892.0</v>
      </c>
      <c r="C440" s="167">
        <v>42895.0</v>
      </c>
      <c r="D440" s="123">
        <v>1849.0</v>
      </c>
      <c r="E440" s="59">
        <f>E439-583</f>
        <v>17043.1</v>
      </c>
      <c r="F440" s="60"/>
      <c r="G440" s="50"/>
      <c r="H440" s="1"/>
      <c r="I440" s="1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50"/>
      <c r="B441" s="122">
        <v>42906.0</v>
      </c>
      <c r="C441" s="167">
        <v>42909.0</v>
      </c>
      <c r="D441" s="123">
        <v>1889.0</v>
      </c>
      <c r="E441" s="59">
        <f>E440-815.6</f>
        <v>16227.5</v>
      </c>
      <c r="F441" s="60"/>
      <c r="G441" s="50"/>
      <c r="H441" s="1"/>
      <c r="I441" s="1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50"/>
      <c r="B442" s="122">
        <v>43003.0</v>
      </c>
      <c r="C442" s="167">
        <v>43013.0</v>
      </c>
      <c r="D442" s="123">
        <v>2174.0</v>
      </c>
      <c r="E442" s="59">
        <f>E441-506.6</f>
        <v>15720.9</v>
      </c>
      <c r="F442" s="60"/>
      <c r="G442" s="50"/>
      <c r="H442" s="1"/>
      <c r="I442" s="1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50"/>
      <c r="B443" s="122">
        <v>43034.0</v>
      </c>
      <c r="C443" s="167">
        <v>43061.0</v>
      </c>
      <c r="D443" s="123">
        <v>2272.0</v>
      </c>
      <c r="E443" s="59">
        <f>E442-13245.9</f>
        <v>2475</v>
      </c>
      <c r="F443" s="60"/>
      <c r="G443" s="50"/>
      <c r="H443" s="1"/>
      <c r="I443" s="1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29" t="s">
        <v>793</v>
      </c>
      <c r="B444" s="31">
        <v>42496.0</v>
      </c>
      <c r="C444" s="58"/>
      <c r="D444" s="29" t="s">
        <v>794</v>
      </c>
      <c r="E444" s="33">
        <v>5832.0</v>
      </c>
      <c r="F444" s="34">
        <v>42860.0</v>
      </c>
      <c r="G444" s="29" t="s">
        <v>795</v>
      </c>
      <c r="H444" s="1"/>
      <c r="I444" s="1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29"/>
      <c r="B445" s="31"/>
      <c r="C445" s="58"/>
      <c r="D445" s="199"/>
      <c r="E445" s="33">
        <f>E444-3888</f>
        <v>1944</v>
      </c>
      <c r="F445" s="34"/>
      <c r="G445" s="29"/>
      <c r="H445" s="1"/>
      <c r="I445" s="1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29"/>
      <c r="B446" s="31"/>
      <c r="C446" s="58"/>
      <c r="D446" s="199"/>
      <c r="E446" s="33">
        <f>E445-1944</f>
        <v>0</v>
      </c>
      <c r="F446" s="34"/>
      <c r="G446" s="29"/>
      <c r="H446" s="1"/>
      <c r="I446" s="1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52" t="s">
        <v>218</v>
      </c>
      <c r="B447" s="53">
        <v>42544.0</v>
      </c>
      <c r="C447" s="54">
        <v>3950.0</v>
      </c>
      <c r="D447" s="52" t="s">
        <v>806</v>
      </c>
      <c r="E447" s="55">
        <v>227600.0</v>
      </c>
      <c r="F447" s="56">
        <v>42711.0</v>
      </c>
      <c r="G447" s="52" t="s">
        <v>465</v>
      </c>
      <c r="H447" s="1" t="s">
        <v>807</v>
      </c>
      <c r="I447" s="1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50"/>
      <c r="B448" s="57"/>
      <c r="C448" s="58"/>
      <c r="D448" s="50"/>
      <c r="E448" s="59">
        <f>E447-57200</f>
        <v>170400</v>
      </c>
      <c r="F448" s="60" t="s">
        <v>32</v>
      </c>
      <c r="G448" s="50"/>
      <c r="H448" s="1"/>
      <c r="I448" s="1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50"/>
      <c r="B449" s="57"/>
      <c r="C449" s="58"/>
      <c r="D449" s="50"/>
      <c r="E449" s="59">
        <f>E448-12000</f>
        <v>158400</v>
      </c>
      <c r="F449" s="60"/>
      <c r="G449" s="50"/>
      <c r="H449" s="1"/>
      <c r="I449" s="1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50"/>
      <c r="B450" s="122">
        <v>42807.0</v>
      </c>
      <c r="C450" s="123"/>
      <c r="D450" s="123">
        <v>514.0</v>
      </c>
      <c r="E450" s="59">
        <f>E449-4800</f>
        <v>153600</v>
      </c>
      <c r="F450" s="60"/>
      <c r="G450" s="50"/>
      <c r="H450" s="1"/>
      <c r="I450" s="1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29" t="s">
        <v>812</v>
      </c>
      <c r="B451" s="31">
        <v>42387.0</v>
      </c>
      <c r="C451" s="32">
        <v>3917.0</v>
      </c>
      <c r="D451" s="29" t="s">
        <v>813</v>
      </c>
      <c r="E451" s="33">
        <v>28666.69</v>
      </c>
      <c r="F451" s="34">
        <v>42725.0</v>
      </c>
      <c r="G451" s="29" t="s">
        <v>814</v>
      </c>
      <c r="H451" s="1" t="s">
        <v>815</v>
      </c>
      <c r="I451" s="1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29"/>
      <c r="B452" s="31"/>
      <c r="C452" s="32"/>
      <c r="D452" s="29"/>
      <c r="E452" s="33">
        <f t="shared" ref="E452:E455" si="6">E451-5733.33</f>
        <v>22933.36</v>
      </c>
      <c r="F452" s="34"/>
      <c r="G452" s="29"/>
      <c r="H452" s="1"/>
      <c r="I452" s="1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29"/>
      <c r="B453" s="31"/>
      <c r="C453" s="32"/>
      <c r="D453" s="29"/>
      <c r="E453" s="33">
        <f t="shared" si="6"/>
        <v>17200.03</v>
      </c>
      <c r="F453" s="34"/>
      <c r="G453" s="29"/>
      <c r="H453" s="1"/>
      <c r="I453" s="1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29"/>
      <c r="B454" s="31"/>
      <c r="C454" s="32"/>
      <c r="D454" s="29"/>
      <c r="E454" s="33">
        <f t="shared" si="6"/>
        <v>11466.7</v>
      </c>
      <c r="F454" s="34"/>
      <c r="G454" s="29"/>
      <c r="H454" s="1"/>
      <c r="I454" s="1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29"/>
      <c r="B455" s="31"/>
      <c r="C455" s="32"/>
      <c r="D455" s="29"/>
      <c r="E455" s="33">
        <f t="shared" si="6"/>
        <v>5733.37</v>
      </c>
      <c r="F455" s="34"/>
      <c r="G455" s="29"/>
      <c r="H455" s="1"/>
      <c r="I455" s="1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29"/>
      <c r="B456" s="31"/>
      <c r="C456" s="32"/>
      <c r="D456" s="29"/>
      <c r="E456" s="33">
        <f>E455-5733.37</f>
        <v>0</v>
      </c>
      <c r="F456" s="34"/>
      <c r="G456" s="29"/>
      <c r="H456" s="1"/>
      <c r="I456" s="1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29" t="s">
        <v>864</v>
      </c>
      <c r="B457" s="31">
        <v>42460.0</v>
      </c>
      <c r="C457" s="32">
        <v>3950.0</v>
      </c>
      <c r="D457" s="29" t="s">
        <v>866</v>
      </c>
      <c r="E457" s="33">
        <v>0.0</v>
      </c>
      <c r="F457" s="34">
        <v>42711.0</v>
      </c>
      <c r="G457" s="29" t="s">
        <v>484</v>
      </c>
      <c r="H457" s="1"/>
      <c r="I457" s="1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29" t="s">
        <v>864</v>
      </c>
      <c r="B458" s="31">
        <v>42612.0</v>
      </c>
      <c r="C458" s="32">
        <v>3950.0</v>
      </c>
      <c r="D458" s="29" t="s">
        <v>867</v>
      </c>
      <c r="E458" s="33">
        <v>153590.77</v>
      </c>
      <c r="F458" s="34"/>
      <c r="G458" s="29" t="s">
        <v>490</v>
      </c>
      <c r="H458" s="1"/>
      <c r="I458" s="1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29"/>
      <c r="B459" s="31"/>
      <c r="C459" s="32"/>
      <c r="D459" s="29"/>
      <c r="E459" s="33">
        <f>E458-57801.69</f>
        <v>95789.08</v>
      </c>
      <c r="F459" s="34"/>
      <c r="G459" s="29"/>
      <c r="H459" s="1"/>
      <c r="I459" s="1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29"/>
      <c r="B460" s="119">
        <v>42790.0</v>
      </c>
      <c r="C460" s="120"/>
      <c r="D460" s="120">
        <v>593285.0</v>
      </c>
      <c r="E460" s="33">
        <f>E459-95789.08</f>
        <v>0</v>
      </c>
      <c r="F460" s="34"/>
      <c r="G460" s="29"/>
      <c r="H460" s="1"/>
      <c r="I460" s="1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52" t="s">
        <v>864</v>
      </c>
      <c r="B461" s="53">
        <v>42691.0</v>
      </c>
      <c r="C461" s="54">
        <v>3950.0</v>
      </c>
      <c r="D461" s="52" t="s">
        <v>870</v>
      </c>
      <c r="E461" s="55">
        <v>277221.75</v>
      </c>
      <c r="F461" s="56">
        <v>43055.0</v>
      </c>
      <c r="G461" s="52" t="s">
        <v>871</v>
      </c>
      <c r="H461" s="19" t="s">
        <v>13</v>
      </c>
      <c r="I461" s="1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50"/>
      <c r="B462" s="122">
        <v>42825.0</v>
      </c>
      <c r="C462" s="123"/>
      <c r="D462" s="123">
        <v>593527.0</v>
      </c>
      <c r="E462" s="59">
        <f>E461-2306.56</f>
        <v>274915.19</v>
      </c>
      <c r="F462" s="60"/>
      <c r="G462" s="50"/>
      <c r="H462" s="1"/>
      <c r="I462" s="1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50"/>
      <c r="B463" s="122">
        <v>42853.0</v>
      </c>
      <c r="C463" s="123"/>
      <c r="D463" s="123">
        <v>593693.0</v>
      </c>
      <c r="E463" s="59">
        <f>E462-15368.92</f>
        <v>259546.27</v>
      </c>
      <c r="F463" s="60"/>
      <c r="G463" s="50"/>
      <c r="H463" s="1"/>
      <c r="I463" s="1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50"/>
      <c r="B464" s="122">
        <v>42886.0</v>
      </c>
      <c r="C464" s="167">
        <v>42895.0</v>
      </c>
      <c r="D464" s="123">
        <v>593947.0</v>
      </c>
      <c r="E464" s="59">
        <f>E463-15156.8</f>
        <v>244389.47</v>
      </c>
      <c r="F464" s="60"/>
      <c r="G464" s="50"/>
      <c r="H464" s="1"/>
      <c r="I464" s="1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50"/>
      <c r="B465" s="122">
        <v>42916.0</v>
      </c>
      <c r="C465" s="167">
        <v>42927.0</v>
      </c>
      <c r="D465" s="123">
        <v>594141.0</v>
      </c>
      <c r="E465" s="59">
        <f>E464-34156.54</f>
        <v>210232.93</v>
      </c>
      <c r="F465" s="60"/>
      <c r="G465" s="50"/>
      <c r="H465" s="1"/>
      <c r="I465" s="1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50"/>
      <c r="B466" s="122">
        <v>42947.0</v>
      </c>
      <c r="C466" s="167">
        <v>42954.0</v>
      </c>
      <c r="D466" s="123">
        <v>594414.0</v>
      </c>
      <c r="E466" s="59">
        <f>E465-30574.62</f>
        <v>179658.31</v>
      </c>
      <c r="F466" s="60"/>
      <c r="G466" s="50"/>
      <c r="H466" s="1"/>
      <c r="I466" s="1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50"/>
      <c r="B467" s="122">
        <v>42978.0</v>
      </c>
      <c r="C467" s="167">
        <v>43011.0</v>
      </c>
      <c r="D467" s="123">
        <v>594771.0</v>
      </c>
      <c r="E467" s="59">
        <f>E466-53863</f>
        <v>125795.31</v>
      </c>
      <c r="F467" s="60"/>
      <c r="G467" s="50"/>
      <c r="H467" s="1"/>
      <c r="I467" s="1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50"/>
      <c r="B468" s="122">
        <v>43007.0</v>
      </c>
      <c r="C468" s="167">
        <v>43024.0</v>
      </c>
      <c r="D468" s="123">
        <v>595118.0</v>
      </c>
      <c r="E468" s="59">
        <f>E467-35409.89</f>
        <v>90385.42</v>
      </c>
      <c r="F468" s="60"/>
      <c r="G468" s="50"/>
      <c r="H468" s="1"/>
      <c r="I468" s="1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50"/>
      <c r="B469" s="122">
        <v>43039.0</v>
      </c>
      <c r="C469" s="167">
        <v>43055.0</v>
      </c>
      <c r="D469" s="123">
        <v>595513.0</v>
      </c>
      <c r="E469" s="59">
        <f>E468-41988.45</f>
        <v>48396.97</v>
      </c>
      <c r="F469" s="60"/>
      <c r="G469" s="50"/>
      <c r="H469" s="1"/>
      <c r="I469" s="1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29" t="s">
        <v>876</v>
      </c>
      <c r="B470" s="31">
        <v>42720.0</v>
      </c>
      <c r="C470" s="32">
        <v>3022.0</v>
      </c>
      <c r="D470" s="29" t="s">
        <v>877</v>
      </c>
      <c r="E470" s="33">
        <v>30264.36</v>
      </c>
      <c r="F470" s="34">
        <v>43083.0</v>
      </c>
      <c r="G470" s="29" t="s">
        <v>878</v>
      </c>
      <c r="H470" s="1"/>
      <c r="I470" s="1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29"/>
      <c r="B471" s="151">
        <v>42796.0</v>
      </c>
      <c r="C471" s="32"/>
      <c r="D471" s="152">
        <v>53908.0</v>
      </c>
      <c r="E471" s="33">
        <f>E470-30264.36</f>
        <v>0</v>
      </c>
      <c r="F471" s="34"/>
      <c r="G471" s="29"/>
      <c r="H471" s="67"/>
      <c r="I471" s="113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ht="12.75" customHeight="1">
      <c r="A472" s="29" t="s">
        <v>195</v>
      </c>
      <c r="B472" s="31">
        <v>42608.0</v>
      </c>
      <c r="C472" s="32">
        <v>3950.0</v>
      </c>
      <c r="D472" s="29" t="s">
        <v>879</v>
      </c>
      <c r="E472" s="33">
        <v>30871.0</v>
      </c>
      <c r="F472" s="34">
        <v>42711.0</v>
      </c>
      <c r="G472" s="29" t="s">
        <v>880</v>
      </c>
      <c r="H472" s="1"/>
      <c r="I472" s="1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29"/>
      <c r="B473" s="31"/>
      <c r="C473" s="31"/>
      <c r="D473" s="29"/>
      <c r="E473" s="33">
        <f>E472-7394</f>
        <v>23477</v>
      </c>
      <c r="F473" s="34"/>
      <c r="G473" s="29"/>
      <c r="H473" s="1"/>
      <c r="I473" s="1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29"/>
      <c r="B474" s="31"/>
      <c r="C474" s="31"/>
      <c r="D474" s="29"/>
      <c r="E474" s="33">
        <f>E473-7966</f>
        <v>15511</v>
      </c>
      <c r="F474" s="34"/>
      <c r="G474" s="29"/>
      <c r="H474" s="1"/>
      <c r="I474" s="15"/>
      <c r="J474" s="111"/>
      <c r="K474" s="111"/>
      <c r="L474" s="11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29"/>
      <c r="B475" s="31"/>
      <c r="C475" s="31"/>
      <c r="D475" s="29"/>
      <c r="E475" s="33">
        <f>E474-10746</f>
        <v>4765</v>
      </c>
      <c r="F475" s="34"/>
      <c r="G475" s="29"/>
      <c r="H475" s="1"/>
      <c r="I475" s="15"/>
      <c r="J475" s="111"/>
      <c r="K475" s="111"/>
      <c r="L475" s="11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29"/>
      <c r="B476" s="31"/>
      <c r="C476" s="31"/>
      <c r="D476" s="29"/>
      <c r="E476" s="33">
        <f>E475-4171</f>
        <v>594</v>
      </c>
      <c r="F476" s="34"/>
      <c r="G476" s="29"/>
      <c r="H476" s="1"/>
      <c r="I476" s="15"/>
      <c r="J476" s="111"/>
      <c r="K476" s="111"/>
      <c r="L476" s="11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29"/>
      <c r="B477" s="130">
        <v>42746.0</v>
      </c>
      <c r="C477" s="31"/>
      <c r="D477" s="135">
        <v>147.0</v>
      </c>
      <c r="E477" s="33">
        <f>E476-594</f>
        <v>0</v>
      </c>
      <c r="F477" s="34"/>
      <c r="G477" s="29"/>
      <c r="H477" s="1"/>
      <c r="I477" s="15"/>
      <c r="J477" s="111"/>
      <c r="K477" s="111"/>
      <c r="L477" s="11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52" t="s">
        <v>255</v>
      </c>
      <c r="B478" s="53">
        <v>42538.0</v>
      </c>
      <c r="C478" s="54">
        <v>3035.0</v>
      </c>
      <c r="D478" s="52" t="s">
        <v>881</v>
      </c>
      <c r="E478" s="55">
        <v>320317.5</v>
      </c>
      <c r="F478" s="56">
        <v>42902.0</v>
      </c>
      <c r="G478" s="52" t="s">
        <v>882</v>
      </c>
      <c r="H478" s="1"/>
      <c r="I478" s="1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50"/>
      <c r="B479" s="57"/>
      <c r="C479" s="58"/>
      <c r="D479" s="50"/>
      <c r="E479" s="59">
        <f>E478-7113</f>
        <v>313204.5</v>
      </c>
      <c r="F479" s="60"/>
      <c r="G479" s="50"/>
      <c r="H479" s="1"/>
      <c r="I479" s="1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50"/>
      <c r="B480" s="57"/>
      <c r="C480" s="58"/>
      <c r="D480" s="50"/>
      <c r="E480" s="59">
        <f>E479-17082</f>
        <v>296122.5</v>
      </c>
      <c r="F480" s="60"/>
      <c r="G480" s="50"/>
      <c r="H480" s="1"/>
      <c r="I480" s="1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50"/>
      <c r="B481" s="57"/>
      <c r="C481" s="58"/>
      <c r="D481" s="50"/>
      <c r="E481" s="59">
        <f>E480-36980.7-18692</f>
        <v>240449.8</v>
      </c>
      <c r="F481" s="60"/>
      <c r="G481" s="50"/>
      <c r="H481" s="1"/>
      <c r="I481" s="1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50"/>
      <c r="B482" s="57"/>
      <c r="C482" s="58"/>
      <c r="D482" s="50"/>
      <c r="E482" s="59">
        <f>E481-7113</f>
        <v>233336.8</v>
      </c>
      <c r="F482" s="60"/>
      <c r="G482" s="50"/>
      <c r="H482" s="1"/>
      <c r="I482" s="1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50"/>
      <c r="B483" s="57"/>
      <c r="C483" s="58"/>
      <c r="D483" s="50"/>
      <c r="E483" s="59">
        <f>E482-37884.8</f>
        <v>195452</v>
      </c>
      <c r="F483" s="60"/>
      <c r="G483" s="50"/>
      <c r="H483" s="1"/>
      <c r="I483" s="1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50"/>
      <c r="B484" s="57"/>
      <c r="C484" s="58"/>
      <c r="D484" s="50"/>
      <c r="E484" s="59">
        <f>E483-1452</f>
        <v>194000</v>
      </c>
      <c r="F484" s="60"/>
      <c r="G484" s="50"/>
      <c r="H484" s="1"/>
      <c r="I484" s="1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50"/>
      <c r="B485" s="57"/>
      <c r="C485" s="58"/>
      <c r="D485" s="50"/>
      <c r="E485" s="59">
        <f>E484-780</f>
        <v>193220</v>
      </c>
      <c r="F485" s="60"/>
      <c r="G485" s="50"/>
      <c r="H485" s="1"/>
      <c r="I485" s="1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50"/>
      <c r="B486" s="57"/>
      <c r="C486" s="58"/>
      <c r="D486" s="50"/>
      <c r="E486" s="59">
        <f>E485-1866</f>
        <v>191354</v>
      </c>
      <c r="F486" s="60"/>
      <c r="G486" s="50"/>
      <c r="H486" s="1"/>
      <c r="I486" s="1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50"/>
      <c r="B487" s="57"/>
      <c r="C487" s="58"/>
      <c r="D487" s="50"/>
      <c r="E487" s="59">
        <f>E486-2418</f>
        <v>188936</v>
      </c>
      <c r="F487" s="60"/>
      <c r="G487" s="50"/>
      <c r="H487" s="1"/>
      <c r="I487" s="1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50"/>
      <c r="B488" s="57"/>
      <c r="C488" s="58"/>
      <c r="D488" s="50"/>
      <c r="E488" s="59">
        <f>E487-32943</f>
        <v>155993</v>
      </c>
      <c r="F488" s="60"/>
      <c r="G488" s="50"/>
      <c r="H488" s="1"/>
      <c r="I488" s="1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50"/>
      <c r="B489" s="57"/>
      <c r="C489" s="58"/>
      <c r="D489" s="50"/>
      <c r="E489" s="59">
        <f>E488-10728</f>
        <v>145265</v>
      </c>
      <c r="F489" s="60"/>
      <c r="G489" s="50"/>
      <c r="H489" s="1"/>
      <c r="I489" s="1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50"/>
      <c r="B490" s="194">
        <v>42789.0</v>
      </c>
      <c r="C490" s="58"/>
      <c r="D490" s="195">
        <v>1408960.0</v>
      </c>
      <c r="E490" s="59">
        <f>E489-23287.5</f>
        <v>121977.5</v>
      </c>
      <c r="F490" s="60"/>
      <c r="G490" s="50"/>
      <c r="H490" s="1"/>
      <c r="I490" s="1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50"/>
      <c r="B491" s="194">
        <v>42812.0</v>
      </c>
      <c r="C491" s="58"/>
      <c r="D491" s="195">
        <v>1421778.0</v>
      </c>
      <c r="E491" s="59">
        <f>E490-18980</f>
        <v>102997.5</v>
      </c>
      <c r="F491" s="60"/>
      <c r="G491" s="50"/>
      <c r="H491" s="1"/>
      <c r="I491" s="1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50"/>
      <c r="B492" s="194">
        <v>42846.0</v>
      </c>
      <c r="C492" s="58"/>
      <c r="D492" s="195">
        <v>1440701.0</v>
      </c>
      <c r="E492" s="59">
        <f>E491-180.9</f>
        <v>102816.6</v>
      </c>
      <c r="F492" s="60"/>
      <c r="G492" s="50"/>
      <c r="H492" s="1"/>
      <c r="I492" s="1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50"/>
      <c r="B493" s="194">
        <v>42843.0</v>
      </c>
      <c r="C493" s="58"/>
      <c r="D493" s="195">
        <v>1438596.0</v>
      </c>
      <c r="E493" s="59">
        <f>E492-32446.9</f>
        <v>70369.7</v>
      </c>
      <c r="F493" s="60"/>
      <c r="G493" s="50"/>
      <c r="H493" s="1"/>
      <c r="I493" s="1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50"/>
      <c r="B494" s="194">
        <v>42852.0</v>
      </c>
      <c r="C494" s="58"/>
      <c r="D494" s="195">
        <v>1444474.0</v>
      </c>
      <c r="E494" s="59">
        <f>E493-418.5</f>
        <v>69951.2</v>
      </c>
      <c r="F494" s="60"/>
      <c r="G494" s="50"/>
      <c r="H494" s="1"/>
      <c r="I494" s="1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50"/>
      <c r="B495" s="194">
        <v>42853.0</v>
      </c>
      <c r="C495" s="58"/>
      <c r="D495" s="195">
        <v>1445281.0</v>
      </c>
      <c r="E495" s="59">
        <f>E494-933</f>
        <v>69018.2</v>
      </c>
      <c r="F495" s="60"/>
      <c r="G495" s="50"/>
      <c r="H495" s="1"/>
      <c r="I495" s="1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50"/>
      <c r="B496" s="194">
        <v>42866.0</v>
      </c>
      <c r="C496" s="194">
        <v>42870.0</v>
      </c>
      <c r="D496" s="195">
        <v>1452975.0</v>
      </c>
      <c r="E496" s="59">
        <f>E495-13790.4</f>
        <v>55227.8</v>
      </c>
      <c r="F496" s="60"/>
      <c r="G496" s="50"/>
      <c r="H496" s="1"/>
      <c r="I496" s="1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50"/>
      <c r="B497" s="194">
        <v>42871.0</v>
      </c>
      <c r="C497" s="194">
        <v>42880.0</v>
      </c>
      <c r="D497" s="195">
        <v>1456078.0</v>
      </c>
      <c r="E497" s="59">
        <f>E496-312</f>
        <v>54915.8</v>
      </c>
      <c r="F497" s="60"/>
      <c r="G497" s="50"/>
      <c r="H497" s="1"/>
      <c r="I497" s="1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50"/>
      <c r="B498" s="194">
        <v>42860.0</v>
      </c>
      <c r="C498" s="194">
        <v>42880.0</v>
      </c>
      <c r="D498" s="195">
        <v>1448869.0</v>
      </c>
      <c r="E498" s="59">
        <f>E497-5473</f>
        <v>49442.8</v>
      </c>
      <c r="F498" s="60"/>
      <c r="G498" s="50"/>
      <c r="H498" s="1"/>
      <c r="I498" s="1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50"/>
      <c r="B499" s="194">
        <v>42837.0</v>
      </c>
      <c r="C499" s="194">
        <v>42880.0</v>
      </c>
      <c r="D499" s="195">
        <v>1435773.0</v>
      </c>
      <c r="E499" s="59">
        <f>E498-7466</f>
        <v>41976.8</v>
      </c>
      <c r="F499" s="60"/>
      <c r="G499" s="50"/>
      <c r="H499" s="1"/>
      <c r="I499" s="1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50"/>
      <c r="B500" s="194">
        <v>42700.0</v>
      </c>
      <c r="C500" s="194">
        <v>42892.0</v>
      </c>
      <c r="D500" s="195">
        <v>1354337.0</v>
      </c>
      <c r="E500" s="59">
        <f>E499-1749</f>
        <v>40227.8</v>
      </c>
      <c r="F500" s="60"/>
      <c r="G500" s="50"/>
      <c r="H500" s="1"/>
      <c r="I500" s="1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50"/>
      <c r="B501" s="194">
        <v>42895.0</v>
      </c>
      <c r="C501" s="194">
        <v>43013.0</v>
      </c>
      <c r="D501" s="195">
        <v>1472269.0</v>
      </c>
      <c r="E501" s="59">
        <f>E500-8371.2</f>
        <v>31856.6</v>
      </c>
      <c r="F501" s="60"/>
      <c r="G501" s="50"/>
      <c r="H501" s="1"/>
      <c r="I501" s="1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50"/>
      <c r="B502" s="194">
        <v>42895.0</v>
      </c>
      <c r="C502" s="194">
        <v>43013.0</v>
      </c>
      <c r="D502" s="195">
        <v>1472319.0</v>
      </c>
      <c r="E502" s="59">
        <f>E501-27796.7</f>
        <v>4059.9</v>
      </c>
      <c r="F502" s="60"/>
      <c r="G502" s="50"/>
      <c r="H502" s="1"/>
      <c r="I502" s="1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50"/>
      <c r="B503" s="194">
        <v>42896.0</v>
      </c>
      <c r="C503" s="194">
        <v>43013.0</v>
      </c>
      <c r="D503" s="195">
        <v>1472437.0</v>
      </c>
      <c r="E503" s="59">
        <f>E502-1836</f>
        <v>2223.9</v>
      </c>
      <c r="F503" s="60"/>
      <c r="G503" s="50"/>
      <c r="H503" s="1"/>
      <c r="I503" s="1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29" t="s">
        <v>906</v>
      </c>
      <c r="B504" s="31">
        <v>42684.0</v>
      </c>
      <c r="C504" s="32">
        <v>3035.0</v>
      </c>
      <c r="D504" s="29" t="s">
        <v>907</v>
      </c>
      <c r="E504" s="33">
        <v>21168.0</v>
      </c>
      <c r="F504" s="34">
        <v>43048.0</v>
      </c>
      <c r="G504" s="29" t="s">
        <v>908</v>
      </c>
      <c r="H504" s="12"/>
      <c r="I504" s="104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2.75" customHeight="1">
      <c r="A505" s="29"/>
      <c r="B505" s="31">
        <v>43047.0</v>
      </c>
      <c r="C505" s="109">
        <v>43049.0</v>
      </c>
      <c r="D505" s="29">
        <v>26662.0</v>
      </c>
      <c r="E505" s="33">
        <f>E504-21168</f>
        <v>0</v>
      </c>
      <c r="F505" s="34"/>
      <c r="G505" s="29"/>
      <c r="H505" s="12"/>
      <c r="I505" s="104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2.75" customHeight="1">
      <c r="A506" s="29" t="s">
        <v>906</v>
      </c>
      <c r="B506" s="31">
        <v>42717.0</v>
      </c>
      <c r="C506" s="32">
        <v>3036.0</v>
      </c>
      <c r="D506" s="29" t="s">
        <v>910</v>
      </c>
      <c r="E506" s="33">
        <v>4158.0</v>
      </c>
      <c r="F506" s="34"/>
      <c r="G506" s="29" t="s">
        <v>911</v>
      </c>
      <c r="H506" s="1"/>
      <c r="I506" s="1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29"/>
      <c r="B507" s="119">
        <v>42773.0</v>
      </c>
      <c r="C507" s="32"/>
      <c r="D507" s="120">
        <v>23813.0</v>
      </c>
      <c r="E507" s="33">
        <f>E506-4158</f>
        <v>0</v>
      </c>
      <c r="F507" s="34"/>
      <c r="G507" s="29"/>
      <c r="H507" s="1"/>
      <c r="I507" s="1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29" t="s">
        <v>913</v>
      </c>
      <c r="B508" s="31">
        <v>42612.0</v>
      </c>
      <c r="C508" s="32">
        <v>3022.0</v>
      </c>
      <c r="D508" s="29" t="s">
        <v>914</v>
      </c>
      <c r="E508" s="33">
        <v>4375.0</v>
      </c>
      <c r="F508" s="34">
        <v>42969.0</v>
      </c>
      <c r="G508" s="29" t="s">
        <v>557</v>
      </c>
      <c r="H508" s="1"/>
      <c r="I508" s="1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29"/>
      <c r="B509" s="31"/>
      <c r="C509" s="32"/>
      <c r="D509" s="29"/>
      <c r="E509" s="33">
        <f>E508-4375</f>
        <v>0</v>
      </c>
      <c r="F509" s="34"/>
      <c r="G509" s="29"/>
      <c r="H509" s="1"/>
      <c r="I509" s="1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50"/>
      <c r="B510" s="57"/>
      <c r="C510" s="58"/>
      <c r="D510" s="50"/>
      <c r="E510" s="237"/>
      <c r="F510" s="60"/>
      <c r="G510" s="50"/>
      <c r="H510" s="1"/>
      <c r="I510" s="1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29" t="s">
        <v>917</v>
      </c>
      <c r="B511" s="31">
        <v>42696.0</v>
      </c>
      <c r="C511" s="32">
        <v>3036.0</v>
      </c>
      <c r="D511" s="29" t="s">
        <v>918</v>
      </c>
      <c r="E511" s="33">
        <v>21894.0</v>
      </c>
      <c r="F511" s="34">
        <v>43047.0</v>
      </c>
      <c r="G511" s="29" t="s">
        <v>568</v>
      </c>
      <c r="H511" s="1"/>
      <c r="I511" s="1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29"/>
      <c r="B512" s="31"/>
      <c r="C512" s="32"/>
      <c r="D512" s="29"/>
      <c r="E512" s="33">
        <f>E511-21894</f>
        <v>0</v>
      </c>
      <c r="F512" s="34"/>
      <c r="G512" s="29"/>
      <c r="H512" s="1"/>
      <c r="I512" s="1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29" t="s">
        <v>920</v>
      </c>
      <c r="B513" s="31">
        <v>42571.0</v>
      </c>
      <c r="C513" s="32">
        <v>3035.0</v>
      </c>
      <c r="D513" s="29" t="s">
        <v>922</v>
      </c>
      <c r="E513" s="33">
        <v>31640.0</v>
      </c>
      <c r="F513" s="34">
        <v>42935.0</v>
      </c>
      <c r="G513" s="29" t="s">
        <v>923</v>
      </c>
      <c r="H513" s="1"/>
      <c r="I513" s="1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29"/>
      <c r="B514" s="31"/>
      <c r="C514" s="32"/>
      <c r="D514" s="29"/>
      <c r="E514" s="33">
        <f>E513-3955</f>
        <v>27685</v>
      </c>
      <c r="F514" s="34"/>
      <c r="G514" s="29"/>
      <c r="H514" s="1"/>
      <c r="I514" s="1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29"/>
      <c r="B515" s="31"/>
      <c r="C515" s="32"/>
      <c r="D515" s="29"/>
      <c r="E515" s="33">
        <f>E514-1320</f>
        <v>26365</v>
      </c>
      <c r="F515" s="34"/>
      <c r="G515" s="29"/>
      <c r="H515" s="1"/>
      <c r="I515" s="1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29"/>
      <c r="B516" s="31"/>
      <c r="C516" s="32"/>
      <c r="D516" s="29"/>
      <c r="E516" s="33">
        <f t="shared" ref="E516:E519" si="7">E515-3955</f>
        <v>22410</v>
      </c>
      <c r="F516" s="34"/>
      <c r="G516" s="29"/>
      <c r="H516" s="1"/>
      <c r="I516" s="1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29"/>
      <c r="B517" s="130">
        <v>42772.0</v>
      </c>
      <c r="C517" s="32"/>
      <c r="D517" s="135">
        <v>65175.0</v>
      </c>
      <c r="E517" s="33">
        <f t="shared" si="7"/>
        <v>18455</v>
      </c>
      <c r="F517" s="34"/>
      <c r="G517" s="29"/>
      <c r="H517" s="1"/>
      <c r="I517" s="1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29"/>
      <c r="B518" s="130">
        <v>42802.0</v>
      </c>
      <c r="C518" s="32"/>
      <c r="D518" s="135">
        <v>65940.0</v>
      </c>
      <c r="E518" s="33">
        <f t="shared" si="7"/>
        <v>14500</v>
      </c>
      <c r="F518" s="34"/>
      <c r="G518" s="29"/>
      <c r="H518" s="1"/>
      <c r="I518" s="1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29"/>
      <c r="B519" s="130">
        <v>42836.0</v>
      </c>
      <c r="C519" s="32"/>
      <c r="D519" s="135">
        <v>66928.0</v>
      </c>
      <c r="E519" s="33">
        <f t="shared" si="7"/>
        <v>10545</v>
      </c>
      <c r="F519" s="34"/>
      <c r="G519" s="29"/>
      <c r="H519" s="1"/>
      <c r="I519" s="1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29"/>
      <c r="B520" s="130">
        <v>42864.0</v>
      </c>
      <c r="C520" s="130">
        <v>42871.0</v>
      </c>
      <c r="D520" s="135">
        <v>67756.0</v>
      </c>
      <c r="E520" s="33">
        <v>3955.0</v>
      </c>
      <c r="F520" s="34"/>
      <c r="G520" s="29"/>
      <c r="H520" s="1"/>
      <c r="I520" s="1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29"/>
      <c r="B521" s="130">
        <v>42891.0</v>
      </c>
      <c r="C521" s="130">
        <v>42983.0</v>
      </c>
      <c r="D521" s="135">
        <v>68500.0</v>
      </c>
      <c r="E521" s="33">
        <f>E520-3955</f>
        <v>0</v>
      </c>
      <c r="F521" s="34"/>
      <c r="G521" s="29"/>
      <c r="H521" s="1"/>
      <c r="I521" s="1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52" t="s">
        <v>948</v>
      </c>
      <c r="B522" s="53">
        <v>42720.0</v>
      </c>
      <c r="C522" s="54">
        <v>3035.0</v>
      </c>
      <c r="D522" s="52" t="s">
        <v>991</v>
      </c>
      <c r="E522" s="55">
        <v>6139.03</v>
      </c>
      <c r="F522" s="56"/>
      <c r="G522" s="52" t="s">
        <v>992</v>
      </c>
      <c r="H522" s="1"/>
      <c r="I522" s="1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21"/>
      <c r="B523" s="153">
        <v>42783.0</v>
      </c>
      <c r="C523" s="58"/>
      <c r="D523" s="154">
        <v>21642.0</v>
      </c>
      <c r="E523" s="59">
        <f>E522-152.92</f>
        <v>5986.11</v>
      </c>
      <c r="F523" s="124"/>
      <c r="G523" s="121"/>
      <c r="H523" s="67"/>
      <c r="I523" s="113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2.75" customHeight="1">
      <c r="A524" s="50"/>
      <c r="B524" s="194">
        <v>42872.0</v>
      </c>
      <c r="C524" s="194">
        <v>42880.0</v>
      </c>
      <c r="D524" s="195">
        <v>22827.0</v>
      </c>
      <c r="E524" s="59">
        <f>E523-283.74</f>
        <v>5702.37</v>
      </c>
      <c r="F524" s="60"/>
      <c r="G524" s="50"/>
      <c r="H524" s="1"/>
      <c r="I524" s="1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50"/>
      <c r="B525" s="194">
        <v>42891.0</v>
      </c>
      <c r="C525" s="194">
        <v>42894.0</v>
      </c>
      <c r="D525" s="195">
        <v>23077.0</v>
      </c>
      <c r="E525" s="59">
        <f>E524-354.17</f>
        <v>5348.2</v>
      </c>
      <c r="F525" s="60"/>
      <c r="G525" s="50"/>
      <c r="H525" s="1"/>
      <c r="I525" s="1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50"/>
      <c r="B526" s="194">
        <v>42907.0</v>
      </c>
      <c r="C526" s="194">
        <v>42920.0</v>
      </c>
      <c r="D526" s="195">
        <v>23281.0</v>
      </c>
      <c r="E526" s="59">
        <f>E525-31.04</f>
        <v>5317.16</v>
      </c>
      <c r="F526" s="60"/>
      <c r="G526" s="50"/>
      <c r="H526" s="1"/>
      <c r="I526" s="1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50"/>
      <c r="B527" s="194">
        <v>43040.0</v>
      </c>
      <c r="C527" s="194">
        <v>43062.0</v>
      </c>
      <c r="D527" s="195">
        <v>25322.0</v>
      </c>
      <c r="E527" s="59">
        <f>E526-1712.27</f>
        <v>3604.89</v>
      </c>
      <c r="F527" s="60"/>
      <c r="G527" s="50"/>
      <c r="H527" s="1"/>
      <c r="I527" s="1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50"/>
      <c r="B528" s="194">
        <v>43060.0</v>
      </c>
      <c r="C528" s="194">
        <v>43062.0</v>
      </c>
      <c r="D528" s="195">
        <v>25587.0</v>
      </c>
      <c r="E528" s="59">
        <f>E527-118.36</f>
        <v>3486.53</v>
      </c>
      <c r="F528" s="60"/>
      <c r="G528" s="50"/>
      <c r="H528" s="1"/>
      <c r="I528" s="1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50"/>
      <c r="B529" s="194">
        <v>43061.0</v>
      </c>
      <c r="C529" s="194">
        <v>43062.0</v>
      </c>
      <c r="D529" s="195">
        <v>25619.0</v>
      </c>
      <c r="E529" s="59">
        <f>E528-3380.94</f>
        <v>105.59</v>
      </c>
      <c r="F529" s="60"/>
      <c r="G529" s="50"/>
      <c r="H529" s="1"/>
      <c r="I529" s="1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44" t="s">
        <v>1007</v>
      </c>
      <c r="B530" s="45">
        <v>42387.0</v>
      </c>
      <c r="C530" s="58"/>
      <c r="D530" s="44" t="s">
        <v>1008</v>
      </c>
      <c r="E530" s="47">
        <v>11203.3</v>
      </c>
      <c r="F530" s="48">
        <v>42725.0</v>
      </c>
      <c r="G530" s="44" t="s">
        <v>1009</v>
      </c>
      <c r="H530" s="30" t="s">
        <v>22</v>
      </c>
      <c r="I530" s="1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50"/>
      <c r="B531" s="57"/>
      <c r="C531" s="58"/>
      <c r="D531" s="50"/>
      <c r="E531" s="237"/>
      <c r="F531" s="60"/>
      <c r="G531" s="50"/>
      <c r="H531" s="1"/>
      <c r="I531" s="1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29" t="s">
        <v>1012</v>
      </c>
      <c r="B532" s="31">
        <v>42521.0</v>
      </c>
      <c r="C532" s="32">
        <v>3017.0</v>
      </c>
      <c r="D532" s="29" t="s">
        <v>1013</v>
      </c>
      <c r="E532" s="33">
        <v>4778.5</v>
      </c>
      <c r="F532" s="34">
        <v>42826.0</v>
      </c>
      <c r="G532" s="29" t="s">
        <v>1015</v>
      </c>
      <c r="H532" s="1"/>
      <c r="I532" s="1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29"/>
      <c r="B533" s="31"/>
      <c r="C533" s="31"/>
      <c r="D533" s="29"/>
      <c r="E533" s="33">
        <f>E532-4778.5</f>
        <v>0</v>
      </c>
      <c r="F533" s="34"/>
      <c r="G533" s="29"/>
      <c r="H533" s="1"/>
      <c r="I533" s="1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44" t="s">
        <v>1012</v>
      </c>
      <c r="B534" s="45">
        <v>42583.0</v>
      </c>
      <c r="C534" s="46">
        <v>3017.0</v>
      </c>
      <c r="D534" s="44" t="s">
        <v>1019</v>
      </c>
      <c r="E534" s="47">
        <v>27369.4</v>
      </c>
      <c r="F534" s="48">
        <v>42944.0</v>
      </c>
      <c r="G534" s="44" t="s">
        <v>1020</v>
      </c>
      <c r="H534" s="30" t="s">
        <v>22</v>
      </c>
      <c r="I534" s="1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44"/>
      <c r="B535" s="45"/>
      <c r="C535" s="46"/>
      <c r="D535" s="44"/>
      <c r="E535" s="47">
        <f>E534-27219.4</f>
        <v>150</v>
      </c>
      <c r="F535" s="48"/>
      <c r="G535" s="44"/>
      <c r="H535" s="1"/>
      <c r="I535" s="1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29" t="s">
        <v>1012</v>
      </c>
      <c r="B536" s="31">
        <v>42664.0</v>
      </c>
      <c r="C536" s="32">
        <v>3017.0</v>
      </c>
      <c r="D536" s="29" t="s">
        <v>1022</v>
      </c>
      <c r="E536" s="33">
        <v>10724.4</v>
      </c>
      <c r="F536" s="34">
        <v>42944.0</v>
      </c>
      <c r="G536" s="29" t="s">
        <v>1023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29"/>
      <c r="B537" s="31"/>
      <c r="C537" s="31"/>
      <c r="D537" s="29"/>
      <c r="E537" s="33">
        <f>E536-10724.4</f>
        <v>0</v>
      </c>
      <c r="F537" s="34"/>
      <c r="G537" s="29"/>
      <c r="H537" s="1"/>
      <c r="I537" s="1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44" t="s">
        <v>1024</v>
      </c>
      <c r="B538" s="45">
        <v>42544.0</v>
      </c>
      <c r="C538" s="58"/>
      <c r="D538" s="44" t="s">
        <v>1025</v>
      </c>
      <c r="E538" s="47">
        <v>0.02</v>
      </c>
      <c r="F538" s="48"/>
      <c r="G538" s="44" t="s">
        <v>1026</v>
      </c>
      <c r="H538" s="30" t="s">
        <v>22</v>
      </c>
      <c r="I538" s="1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44" t="s">
        <v>315</v>
      </c>
      <c r="B539" s="45">
        <v>42529.0</v>
      </c>
      <c r="C539" s="46">
        <v>3917.0</v>
      </c>
      <c r="D539" s="44" t="s">
        <v>1027</v>
      </c>
      <c r="E539" s="47">
        <v>108801.41</v>
      </c>
      <c r="F539" s="48">
        <v>42893.0</v>
      </c>
      <c r="G539" s="44" t="s">
        <v>1028</v>
      </c>
      <c r="H539" s="30" t="s">
        <v>22</v>
      </c>
      <c r="I539" s="1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29" t="s">
        <v>1029</v>
      </c>
      <c r="B540" s="31">
        <v>42720.0</v>
      </c>
      <c r="C540" s="32">
        <v>3036.0</v>
      </c>
      <c r="D540" s="29" t="s">
        <v>1030</v>
      </c>
      <c r="E540" s="33">
        <v>5573.75</v>
      </c>
      <c r="F540" s="34">
        <v>43046.0</v>
      </c>
      <c r="G540" s="29" t="s">
        <v>441</v>
      </c>
      <c r="H540" s="12"/>
      <c r="I540" s="104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2.75" customHeight="1">
      <c r="A541" s="29"/>
      <c r="B541" s="31">
        <v>42991.0</v>
      </c>
      <c r="C541" s="109">
        <v>43000.0</v>
      </c>
      <c r="D541" s="29">
        <v>152672.0</v>
      </c>
      <c r="E541" s="33">
        <f>E540-5573.75</f>
        <v>0</v>
      </c>
      <c r="F541" s="34"/>
      <c r="G541" s="29"/>
      <c r="H541" s="12"/>
      <c r="I541" s="104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2.75" customHeight="1">
      <c r="A542" s="29" t="s">
        <v>1029</v>
      </c>
      <c r="B542" s="31">
        <v>42716.0</v>
      </c>
      <c r="C542" s="32">
        <v>3036.0</v>
      </c>
      <c r="D542" s="29" t="s">
        <v>1031</v>
      </c>
      <c r="E542" s="33">
        <v>1750.0</v>
      </c>
      <c r="F542" s="34">
        <v>43046.0</v>
      </c>
      <c r="G542" s="29" t="s">
        <v>441</v>
      </c>
      <c r="H542" s="1"/>
      <c r="I542" s="1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29"/>
      <c r="B543" s="41">
        <v>42781.0</v>
      </c>
      <c r="C543" s="31"/>
      <c r="D543" s="42">
        <v>136430.0</v>
      </c>
      <c r="E543" s="33">
        <f>E542-1750</f>
        <v>0</v>
      </c>
      <c r="F543" s="34"/>
      <c r="G543" s="29"/>
      <c r="H543" s="1"/>
      <c r="I543" s="1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29" t="s">
        <v>1032</v>
      </c>
      <c r="B544" s="31">
        <v>42657.0</v>
      </c>
      <c r="C544" s="32">
        <v>3021.0</v>
      </c>
      <c r="D544" s="29" t="s">
        <v>1033</v>
      </c>
      <c r="E544" s="33">
        <v>4275.0</v>
      </c>
      <c r="F544" s="34"/>
      <c r="G544" s="29" t="s">
        <v>429</v>
      </c>
      <c r="H544" s="1"/>
      <c r="I544" s="1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29"/>
      <c r="B545" s="31"/>
      <c r="C545" s="31"/>
      <c r="D545" s="29"/>
      <c r="E545" s="33">
        <f>E544-4275</f>
        <v>0</v>
      </c>
      <c r="F545" s="34"/>
      <c r="G545" s="29"/>
      <c r="H545" s="1"/>
      <c r="I545" s="1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29" t="s">
        <v>1035</v>
      </c>
      <c r="B546" s="31">
        <v>42544.0</v>
      </c>
      <c r="C546" s="32">
        <v>3950.0</v>
      </c>
      <c r="D546" s="29" t="s">
        <v>1036</v>
      </c>
      <c r="E546" s="33">
        <v>263600.0</v>
      </c>
      <c r="F546" s="34">
        <v>42711.0</v>
      </c>
      <c r="G546" s="29" t="s">
        <v>465</v>
      </c>
      <c r="H546" s="1"/>
      <c r="I546" s="1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29"/>
      <c r="B547" s="31"/>
      <c r="C547" s="32"/>
      <c r="D547" s="29"/>
      <c r="E547" s="33">
        <v>165000.0</v>
      </c>
      <c r="F547" s="34"/>
      <c r="G547" s="29"/>
      <c r="H547" s="1"/>
      <c r="I547" s="1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29"/>
      <c r="B548" s="31"/>
      <c r="C548" s="32"/>
      <c r="D548" s="29"/>
      <c r="E548" s="33">
        <f>E547-62769.6</f>
        <v>102230.4</v>
      </c>
      <c r="F548" s="34"/>
      <c r="G548" s="29"/>
      <c r="H548" s="1"/>
      <c r="I548" s="1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29"/>
      <c r="B549" s="31"/>
      <c r="C549" s="32"/>
      <c r="D549" s="29"/>
      <c r="E549" s="33">
        <f>E548-4800</f>
        <v>97430.4</v>
      </c>
      <c r="F549" s="34"/>
      <c r="G549" s="29"/>
      <c r="H549" s="1"/>
      <c r="I549" s="1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29"/>
      <c r="B550" s="41">
        <v>42772.0</v>
      </c>
      <c r="C550" s="32"/>
      <c r="D550" s="42">
        <v>138.0</v>
      </c>
      <c r="E550" s="33">
        <f>E549-81077.4</f>
        <v>16353</v>
      </c>
      <c r="F550" s="34"/>
      <c r="G550" s="29"/>
      <c r="H550" s="1"/>
      <c r="I550" s="1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29"/>
      <c r="B551" s="41">
        <v>42797.0</v>
      </c>
      <c r="C551" s="32"/>
      <c r="D551" s="42">
        <v>141.0</v>
      </c>
      <c r="E551" s="33">
        <f>E550-16353</f>
        <v>0</v>
      </c>
      <c r="F551" s="34"/>
      <c r="G551" s="29"/>
      <c r="H551" s="1"/>
      <c r="I551" s="1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29" t="s">
        <v>1035</v>
      </c>
      <c r="B552" s="31">
        <v>42712.0</v>
      </c>
      <c r="C552" s="32">
        <v>3950.0</v>
      </c>
      <c r="D552" s="29" t="s">
        <v>1048</v>
      </c>
      <c r="E552" s="33">
        <v>100000.0</v>
      </c>
      <c r="F552" s="34">
        <v>43076.0</v>
      </c>
      <c r="G552" s="29" t="s">
        <v>1049</v>
      </c>
      <c r="H552" s="1"/>
      <c r="I552" s="1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29"/>
      <c r="B553" s="41">
        <v>42797.0</v>
      </c>
      <c r="C553" s="32"/>
      <c r="D553" s="42">
        <v>141.0</v>
      </c>
      <c r="E553" s="33">
        <f>E552-56878.2</f>
        <v>43121.8</v>
      </c>
      <c r="F553" s="34"/>
      <c r="G553" s="29"/>
      <c r="H553" s="1"/>
      <c r="I553" s="1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29"/>
      <c r="B554" s="41">
        <v>42829.0</v>
      </c>
      <c r="C554" s="32"/>
      <c r="D554" s="42">
        <v>145.0</v>
      </c>
      <c r="E554" s="33">
        <f>E553-43121.8</f>
        <v>0</v>
      </c>
      <c r="F554" s="34"/>
      <c r="G554" s="29"/>
      <c r="H554" s="1"/>
      <c r="I554" s="1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29" t="s">
        <v>1051</v>
      </c>
      <c r="B555" s="31">
        <v>42716.0</v>
      </c>
      <c r="C555" s="32">
        <v>3036.0</v>
      </c>
      <c r="D555" s="29" t="s">
        <v>1052</v>
      </c>
      <c r="E555" s="33">
        <v>375.0</v>
      </c>
      <c r="F555" s="34">
        <v>42897.0</v>
      </c>
      <c r="G555" s="29" t="s">
        <v>1053</v>
      </c>
      <c r="H555" s="1"/>
      <c r="I555" s="15"/>
      <c r="J555" s="49"/>
      <c r="K555" s="49"/>
      <c r="L555" s="4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29"/>
      <c r="B556" s="31"/>
      <c r="C556" s="31"/>
      <c r="D556" s="29"/>
      <c r="E556" s="33">
        <f>E555-375</f>
        <v>0</v>
      </c>
      <c r="F556" s="34"/>
      <c r="G556" s="29"/>
      <c r="H556" s="1"/>
      <c r="I556" s="15"/>
      <c r="J556" s="49"/>
      <c r="K556" s="49"/>
      <c r="L556" s="4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29" t="s">
        <v>1056</v>
      </c>
      <c r="B557" s="31">
        <v>42571.0</v>
      </c>
      <c r="C557" s="32">
        <v>3036.0</v>
      </c>
      <c r="D557" s="29" t="s">
        <v>1057</v>
      </c>
      <c r="E557" s="33">
        <v>0.0</v>
      </c>
      <c r="F557" s="34">
        <v>42751.0</v>
      </c>
      <c r="G557" s="29" t="s">
        <v>1059</v>
      </c>
      <c r="H557" s="1"/>
      <c r="I557" s="1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52" t="s">
        <v>1056</v>
      </c>
      <c r="B558" s="76">
        <v>42716.0</v>
      </c>
      <c r="C558" s="54">
        <v>3036.0</v>
      </c>
      <c r="D558" s="52" t="s">
        <v>1061</v>
      </c>
      <c r="E558" s="55">
        <v>51046.69</v>
      </c>
      <c r="F558" s="56">
        <v>42897.0</v>
      </c>
      <c r="G558" s="52" t="s">
        <v>1062</v>
      </c>
      <c r="H558" s="1"/>
      <c r="I558" s="1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50"/>
      <c r="B559" s="57"/>
      <c r="C559" s="58"/>
      <c r="D559" s="50"/>
      <c r="E559" s="59">
        <f>E558-3073</f>
        <v>47973.69</v>
      </c>
      <c r="F559" s="60"/>
      <c r="G559" s="50"/>
      <c r="H559" s="1"/>
      <c r="I559" s="1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50"/>
      <c r="B560" s="57"/>
      <c r="C560" s="58"/>
      <c r="D560" s="50"/>
      <c r="E560" s="59">
        <f>E559-22368</f>
        <v>25605.69</v>
      </c>
      <c r="F560" s="60"/>
      <c r="G560" s="50"/>
      <c r="H560" s="1"/>
      <c r="I560" s="1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50"/>
      <c r="B561" s="57"/>
      <c r="C561" s="58"/>
      <c r="D561" s="50"/>
      <c r="E561" s="59">
        <f>E560-6332.94</f>
        <v>19272.75</v>
      </c>
      <c r="F561" s="60"/>
      <c r="G561" s="50"/>
      <c r="H561" s="1"/>
      <c r="I561" s="1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50"/>
      <c r="B562" s="57"/>
      <c r="C562" s="58"/>
      <c r="D562" s="50"/>
      <c r="E562" s="59">
        <f>E561-11393.75</f>
        <v>7879</v>
      </c>
      <c r="F562" s="60"/>
      <c r="G562" s="50"/>
      <c r="H562" s="1"/>
      <c r="I562" s="1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50"/>
      <c r="B563" s="57"/>
      <c r="C563" s="58"/>
      <c r="D563" s="50"/>
      <c r="E563" s="59">
        <f>E562-2637.7</f>
        <v>5241.3</v>
      </c>
      <c r="F563" s="60"/>
      <c r="G563" s="50"/>
      <c r="H563" s="1"/>
      <c r="I563" s="1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50"/>
      <c r="B564" s="57"/>
      <c r="C564" s="58"/>
      <c r="D564" s="50"/>
      <c r="E564" s="59">
        <f>E563-2199</f>
        <v>3042.3</v>
      </c>
      <c r="F564" s="60"/>
      <c r="G564" s="50"/>
      <c r="H564" s="1"/>
      <c r="I564" s="1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50"/>
      <c r="B565" s="57"/>
      <c r="C565" s="58"/>
      <c r="D565" s="50"/>
      <c r="E565" s="59">
        <f>E564-1198.8</f>
        <v>1843.5</v>
      </c>
      <c r="F565" s="60"/>
      <c r="G565" s="50"/>
      <c r="H565" s="1"/>
      <c r="I565" s="1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50"/>
      <c r="B566" s="61">
        <v>42807.0</v>
      </c>
      <c r="C566" s="58"/>
      <c r="D566" s="62">
        <v>22363.0</v>
      </c>
      <c r="E566" s="59">
        <f>E565-983</f>
        <v>860.5</v>
      </c>
      <c r="F566" s="60"/>
      <c r="G566" s="50"/>
      <c r="H566" s="1"/>
      <c r="I566" s="1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50"/>
      <c r="B567" s="61">
        <v>42859.0</v>
      </c>
      <c r="C567" s="58"/>
      <c r="D567" s="62">
        <v>22809.0</v>
      </c>
      <c r="E567" s="59">
        <f>E566-780</f>
        <v>80.5</v>
      </c>
      <c r="F567" s="60"/>
      <c r="G567" s="50"/>
      <c r="H567" s="1"/>
      <c r="I567" s="1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29" t="s">
        <v>287</v>
      </c>
      <c r="B568" s="31">
        <v>42485.0</v>
      </c>
      <c r="C568" s="32">
        <v>3950.0</v>
      </c>
      <c r="D568" s="29" t="s">
        <v>1066</v>
      </c>
      <c r="E568" s="33">
        <v>2120.83</v>
      </c>
      <c r="F568" s="34">
        <v>42712.0</v>
      </c>
      <c r="G568" s="29" t="s">
        <v>1067</v>
      </c>
      <c r="H568" s="1"/>
      <c r="I568" s="1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29" t="s">
        <v>287</v>
      </c>
      <c r="B569" s="31">
        <v>42605.0</v>
      </c>
      <c r="C569" s="32">
        <v>3950.0</v>
      </c>
      <c r="D569" s="29" t="s">
        <v>1068</v>
      </c>
      <c r="E569" s="33">
        <v>93859.44</v>
      </c>
      <c r="F569" s="34">
        <v>42712.0</v>
      </c>
      <c r="G569" s="29" t="s">
        <v>1067</v>
      </c>
      <c r="H569" s="1"/>
      <c r="I569" s="1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29" t="s">
        <v>287</v>
      </c>
      <c r="B570" s="31">
        <v>42636.0</v>
      </c>
      <c r="C570" s="32">
        <v>3950.0</v>
      </c>
      <c r="D570" s="29" t="s">
        <v>1069</v>
      </c>
      <c r="E570" s="33">
        <v>44219.25</v>
      </c>
      <c r="F570" s="34"/>
      <c r="G570" s="29"/>
      <c r="H570" s="1"/>
      <c r="I570" s="1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29"/>
      <c r="B571" s="31"/>
      <c r="C571" s="32"/>
      <c r="D571" s="264" t="s">
        <v>1070</v>
      </c>
      <c r="E571" s="33">
        <f>E568+E569+E570</f>
        <v>140199.52</v>
      </c>
      <c r="F571" s="34"/>
      <c r="G571" s="29"/>
      <c r="H571" s="1"/>
      <c r="I571" s="1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29"/>
      <c r="B572" s="31"/>
      <c r="C572" s="32"/>
      <c r="D572" s="29"/>
      <c r="E572" s="33">
        <f>E571-60450.92</f>
        <v>79748.6</v>
      </c>
      <c r="F572" s="34"/>
      <c r="G572" s="29"/>
      <c r="H572" s="1"/>
      <c r="I572" s="1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29"/>
      <c r="B573" s="31"/>
      <c r="C573" s="32"/>
      <c r="D573" s="29"/>
      <c r="E573" s="33">
        <v>13333.29</v>
      </c>
      <c r="F573" s="34"/>
      <c r="G573" s="29"/>
      <c r="H573" s="1"/>
      <c r="I573" s="1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29"/>
      <c r="B574" s="31"/>
      <c r="C574" s="32"/>
      <c r="D574" s="29"/>
      <c r="E574" s="33">
        <f>E573-13333.29</f>
        <v>0</v>
      </c>
      <c r="F574" s="34"/>
      <c r="G574" s="29"/>
      <c r="H574" s="1"/>
      <c r="I574" s="1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29" t="s">
        <v>287</v>
      </c>
      <c r="B575" s="31">
        <v>42712.0</v>
      </c>
      <c r="C575" s="32">
        <v>3950.0</v>
      </c>
      <c r="D575" s="29" t="s">
        <v>1071</v>
      </c>
      <c r="E575" s="33">
        <v>127000.0</v>
      </c>
      <c r="F575" s="34"/>
      <c r="G575" s="29" t="s">
        <v>1072</v>
      </c>
      <c r="H575" s="1"/>
      <c r="I575" s="1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29"/>
      <c r="B576" s="31"/>
      <c r="C576" s="32"/>
      <c r="D576" s="29"/>
      <c r="E576" s="33">
        <f>E575-62386.33</f>
        <v>64613.67</v>
      </c>
      <c r="F576" s="34"/>
      <c r="G576" s="29"/>
      <c r="H576" s="1"/>
      <c r="I576" s="1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29"/>
      <c r="B577" s="41">
        <v>42786.0</v>
      </c>
      <c r="C577" s="32"/>
      <c r="D577" s="42">
        <v>5468.0</v>
      </c>
      <c r="E577" s="33">
        <f>E576-33889.89</f>
        <v>30723.78</v>
      </c>
      <c r="F577" s="34"/>
      <c r="G577" s="29"/>
      <c r="H577" s="1"/>
      <c r="I577" s="1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29"/>
      <c r="B578" s="41">
        <v>42809.0</v>
      </c>
      <c r="C578" s="32"/>
      <c r="D578" s="42">
        <v>5510.0</v>
      </c>
      <c r="E578" s="33">
        <f>E577-30723.78</f>
        <v>0</v>
      </c>
      <c r="F578" s="34"/>
      <c r="G578" s="29"/>
      <c r="H578" s="1"/>
      <c r="I578" s="1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29" t="s">
        <v>1073</v>
      </c>
      <c r="B579" s="31">
        <v>42612.0</v>
      </c>
      <c r="C579" s="32">
        <v>3022.0</v>
      </c>
      <c r="D579" s="29" t="s">
        <v>1074</v>
      </c>
      <c r="E579" s="33">
        <v>7302.0</v>
      </c>
      <c r="F579" s="34">
        <v>42969.0</v>
      </c>
      <c r="G579" s="29" t="s">
        <v>1075</v>
      </c>
      <c r="H579" s="1"/>
      <c r="I579" s="1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29"/>
      <c r="B580" s="31"/>
      <c r="C580" s="31"/>
      <c r="D580" s="29"/>
      <c r="E580" s="33">
        <f>E579-7286.4</f>
        <v>15.6</v>
      </c>
      <c r="F580" s="34"/>
      <c r="G580" s="29"/>
      <c r="H580" s="1"/>
      <c r="I580" s="1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29"/>
      <c r="B581" s="31"/>
      <c r="C581" s="31"/>
      <c r="D581" s="29"/>
      <c r="E581" s="33">
        <f>E580-15.6</f>
        <v>0</v>
      </c>
      <c r="F581" s="34"/>
      <c r="G581" s="29"/>
      <c r="H581" s="1"/>
      <c r="I581" s="1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29" t="s">
        <v>1076</v>
      </c>
      <c r="B582" s="125">
        <v>42716.0</v>
      </c>
      <c r="C582" s="32">
        <v>3036.0</v>
      </c>
      <c r="D582" s="29" t="s">
        <v>1077</v>
      </c>
      <c r="E582" s="33">
        <v>24983.42</v>
      </c>
      <c r="F582" s="34">
        <v>42897.0</v>
      </c>
      <c r="G582" s="29" t="s">
        <v>1078</v>
      </c>
      <c r="H582" s="1"/>
      <c r="I582" s="1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29"/>
      <c r="B583" s="125"/>
      <c r="C583" s="31"/>
      <c r="D583" s="29"/>
      <c r="E583" s="33">
        <f>E582-24983.42</f>
        <v>0</v>
      </c>
      <c r="F583" s="34"/>
      <c r="G583" s="29"/>
      <c r="H583" s="1"/>
      <c r="I583" s="1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44" t="s">
        <v>1079</v>
      </c>
      <c r="B584" s="45">
        <v>42443.0</v>
      </c>
      <c r="C584" s="58"/>
      <c r="D584" s="44" t="s">
        <v>1080</v>
      </c>
      <c r="E584" s="47">
        <v>66494.15</v>
      </c>
      <c r="F584" s="48">
        <v>42595.0</v>
      </c>
      <c r="G584" s="44" t="s">
        <v>1081</v>
      </c>
      <c r="H584" s="1" t="s">
        <v>22</v>
      </c>
      <c r="I584" s="15"/>
      <c r="J584" s="49"/>
      <c r="K584" s="49"/>
      <c r="L584" s="4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44"/>
      <c r="B585" s="45"/>
      <c r="C585" s="58"/>
      <c r="D585" s="44"/>
      <c r="E585" s="47">
        <f>E584-43825.44</f>
        <v>22668.71</v>
      </c>
      <c r="F585" s="48"/>
      <c r="G585" s="44"/>
      <c r="H585" s="1"/>
      <c r="I585" s="15"/>
      <c r="J585" s="49"/>
      <c r="K585" s="49"/>
      <c r="L585" s="4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52" t="s">
        <v>1079</v>
      </c>
      <c r="B586" s="53">
        <v>42675.0</v>
      </c>
      <c r="C586" s="54">
        <v>3950.0</v>
      </c>
      <c r="D586" s="52" t="s">
        <v>1082</v>
      </c>
      <c r="E586" s="55">
        <v>238000.0</v>
      </c>
      <c r="F586" s="56">
        <v>43018.0</v>
      </c>
      <c r="G586" s="52" t="s">
        <v>1083</v>
      </c>
      <c r="H586" s="19" t="s">
        <v>13</v>
      </c>
      <c r="I586" s="15"/>
      <c r="J586" s="49"/>
      <c r="K586" s="49"/>
      <c r="L586" s="4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50"/>
      <c r="B587" s="57"/>
      <c r="C587" s="58"/>
      <c r="D587" s="50"/>
      <c r="E587" s="59">
        <f>E586-15611.31</f>
        <v>222388.69</v>
      </c>
      <c r="F587" s="60"/>
      <c r="G587" s="50"/>
      <c r="H587" s="1"/>
      <c r="I587" s="1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50"/>
      <c r="B588" s="57"/>
      <c r="C588" s="58"/>
      <c r="D588" s="50"/>
      <c r="E588" s="59">
        <v>202896.9</v>
      </c>
      <c r="F588" s="60"/>
      <c r="G588" s="50"/>
      <c r="H588" s="1"/>
      <c r="I588" s="1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50"/>
      <c r="B589" s="57"/>
      <c r="C589" s="58"/>
      <c r="D589" s="50"/>
      <c r="E589" s="59">
        <f>E588-130830.68</f>
        <v>72066.22</v>
      </c>
      <c r="F589" s="60"/>
      <c r="G589" s="50"/>
      <c r="H589" s="1"/>
      <c r="I589" s="1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50"/>
      <c r="B590" s="57"/>
      <c r="C590" s="58"/>
      <c r="D590" s="50"/>
      <c r="E590" s="59">
        <f>E589-21883.35</f>
        <v>50182.87</v>
      </c>
      <c r="F590" s="60"/>
      <c r="G590" s="50"/>
      <c r="H590" s="1"/>
      <c r="I590" s="1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50"/>
      <c r="B591" s="122">
        <v>42776.0</v>
      </c>
      <c r="C591" s="58"/>
      <c r="D591" s="123">
        <v>449.0</v>
      </c>
      <c r="E591" s="59">
        <f>E590-23194.7</f>
        <v>26988.17</v>
      </c>
      <c r="F591" s="60"/>
      <c r="G591" s="50"/>
      <c r="H591" s="1"/>
      <c r="I591" s="1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50"/>
      <c r="B592" s="122">
        <v>42807.0</v>
      </c>
      <c r="C592" s="58"/>
      <c r="D592" s="123">
        <v>454.0</v>
      </c>
      <c r="E592" s="59">
        <f>E591-21832.65</f>
        <v>5155.52</v>
      </c>
      <c r="F592" s="60"/>
      <c r="G592" s="50"/>
      <c r="H592" s="1"/>
      <c r="I592" s="1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50"/>
      <c r="B593" s="122">
        <v>42843.0</v>
      </c>
      <c r="C593" s="58"/>
      <c r="D593" s="123">
        <v>466.0</v>
      </c>
      <c r="E593" s="59">
        <f>E592-19403.65</f>
        <v>-14248.13</v>
      </c>
      <c r="F593" s="60"/>
      <c r="G593" s="50"/>
      <c r="H593" s="1"/>
      <c r="I593" s="1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50"/>
      <c r="B594" s="122">
        <v>42865.0</v>
      </c>
      <c r="C594" s="88">
        <v>42913.0</v>
      </c>
      <c r="D594" s="123">
        <v>475.0</v>
      </c>
      <c r="E594" s="59">
        <f>E593-14184.75</f>
        <v>-28432.88</v>
      </c>
      <c r="F594" s="60"/>
      <c r="G594" s="50"/>
      <c r="H594" s="1"/>
      <c r="I594" s="1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50"/>
      <c r="B595" s="122">
        <v>42908.0</v>
      </c>
      <c r="C595" s="88">
        <v>42922.0</v>
      </c>
      <c r="D595" s="123">
        <v>484.0</v>
      </c>
      <c r="E595" s="59">
        <f>E594-18687.25</f>
        <v>-47120.13</v>
      </c>
      <c r="F595" s="60"/>
      <c r="G595" s="50"/>
      <c r="H595" s="1"/>
      <c r="I595" s="1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50"/>
      <c r="B596" s="122">
        <v>42933.0</v>
      </c>
      <c r="C596" s="88">
        <v>42944.0</v>
      </c>
      <c r="D596" s="123">
        <v>491.0</v>
      </c>
      <c r="E596" s="59">
        <v>65595.8</v>
      </c>
      <c r="F596" s="60"/>
      <c r="G596" s="50"/>
      <c r="H596" s="1"/>
      <c r="I596" s="1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50"/>
      <c r="B597" s="122">
        <v>42950.0</v>
      </c>
      <c r="C597" s="88">
        <v>42954.0</v>
      </c>
      <c r="D597" s="123">
        <v>500.0</v>
      </c>
      <c r="E597" s="59">
        <f>E596-15485.25</f>
        <v>50110.55</v>
      </c>
      <c r="F597" s="60"/>
      <c r="G597" s="50"/>
      <c r="H597" s="1"/>
      <c r="I597" s="1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50"/>
      <c r="B598" s="122">
        <v>42997.0</v>
      </c>
      <c r="C598" s="88">
        <v>43003.0</v>
      </c>
      <c r="D598" s="123">
        <v>512.0</v>
      </c>
      <c r="E598" s="59">
        <f>E597-16797.9</f>
        <v>33312.65</v>
      </c>
      <c r="F598" s="60"/>
      <c r="G598" s="50"/>
      <c r="H598" s="1"/>
      <c r="I598" s="1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50"/>
      <c r="B599" s="122">
        <v>43027.0</v>
      </c>
      <c r="C599" s="88">
        <v>43035.0</v>
      </c>
      <c r="D599" s="123">
        <v>518.0</v>
      </c>
      <c r="E599" s="59">
        <f>E598-12959.4</f>
        <v>20353.25</v>
      </c>
      <c r="F599" s="60"/>
      <c r="G599" s="50"/>
      <c r="H599" s="1"/>
      <c r="I599" s="1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29" t="s">
        <v>1084</v>
      </c>
      <c r="B600" s="31">
        <v>42583.0</v>
      </c>
      <c r="C600" s="32">
        <v>3017.0</v>
      </c>
      <c r="D600" s="29" t="s">
        <v>1085</v>
      </c>
      <c r="E600" s="33">
        <v>14335.25</v>
      </c>
      <c r="F600" s="34">
        <v>42944.0</v>
      </c>
      <c r="G600" s="29" t="s">
        <v>1086</v>
      </c>
      <c r="H600" s="1"/>
      <c r="I600" s="1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29"/>
      <c r="B601" s="31"/>
      <c r="C601" s="31"/>
      <c r="D601" s="29"/>
      <c r="E601" s="33">
        <f>E600-14335.25</f>
        <v>0</v>
      </c>
      <c r="F601" s="34"/>
      <c r="G601" s="29"/>
      <c r="H601" s="1"/>
      <c r="I601" s="1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29" t="s">
        <v>290</v>
      </c>
      <c r="B602" s="31">
        <v>42580.0</v>
      </c>
      <c r="C602" s="32">
        <v>3950.0</v>
      </c>
      <c r="D602" s="29" t="s">
        <v>1087</v>
      </c>
      <c r="E602" s="33">
        <v>4575.19</v>
      </c>
      <c r="F602" s="34">
        <v>42711.0</v>
      </c>
      <c r="G602" s="29" t="s">
        <v>1088</v>
      </c>
      <c r="H602" s="1"/>
      <c r="I602" s="1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29"/>
      <c r="B603" s="31"/>
      <c r="C603" s="32"/>
      <c r="D603" s="29"/>
      <c r="E603" s="33">
        <f>E602-2352.96</f>
        <v>2222.23</v>
      </c>
      <c r="F603" s="34" t="s">
        <v>32</v>
      </c>
      <c r="G603" s="29"/>
      <c r="H603" s="1"/>
      <c r="I603" s="1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29"/>
      <c r="B604" s="119">
        <v>42712.0</v>
      </c>
      <c r="C604" s="32"/>
      <c r="D604" s="120">
        <v>2576.0</v>
      </c>
      <c r="E604" s="33">
        <f>E603-2222.23</f>
        <v>0</v>
      </c>
      <c r="F604" s="34"/>
      <c r="G604" s="29"/>
      <c r="H604" s="1"/>
      <c r="I604" s="1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29" t="s">
        <v>1089</v>
      </c>
      <c r="B605" s="31">
        <v>42489.0</v>
      </c>
      <c r="C605" s="32">
        <v>3007.0</v>
      </c>
      <c r="D605" s="29" t="s">
        <v>1090</v>
      </c>
      <c r="E605" s="33">
        <v>2812.42</v>
      </c>
      <c r="F605" s="34">
        <v>42853.0</v>
      </c>
      <c r="G605" s="29" t="s">
        <v>1091</v>
      </c>
      <c r="H605" s="1"/>
      <c r="I605" s="1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29"/>
      <c r="B606" s="31"/>
      <c r="C606" s="72"/>
      <c r="D606" s="29"/>
      <c r="E606" s="33">
        <f>E605-2527.66</f>
        <v>284.76</v>
      </c>
      <c r="F606" s="34"/>
      <c r="G606" s="29"/>
      <c r="H606" s="1"/>
      <c r="I606" s="1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29"/>
      <c r="B607" s="119">
        <v>42796.0</v>
      </c>
      <c r="C607" s="72"/>
      <c r="D607" s="120">
        <v>4874.0</v>
      </c>
      <c r="E607" s="33">
        <f>E606-284.76</f>
        <v>0</v>
      </c>
      <c r="F607" s="34"/>
      <c r="G607" s="29"/>
      <c r="H607" s="1"/>
      <c r="I607" s="1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29" t="s">
        <v>1089</v>
      </c>
      <c r="B608" s="31">
        <v>42685.0</v>
      </c>
      <c r="C608" s="72">
        <v>3007.0</v>
      </c>
      <c r="D608" s="29" t="s">
        <v>1092</v>
      </c>
      <c r="E608" s="33">
        <v>3591.0</v>
      </c>
      <c r="F608" s="34">
        <v>43049.0</v>
      </c>
      <c r="G608" s="29" t="s">
        <v>1093</v>
      </c>
      <c r="H608" s="12"/>
      <c r="I608" s="104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2.75" customHeight="1">
      <c r="A609" s="29"/>
      <c r="B609" s="119">
        <v>42776.0</v>
      </c>
      <c r="C609" s="72"/>
      <c r="D609" s="120">
        <v>4728.0</v>
      </c>
      <c r="E609" s="33">
        <f>E608-239.4</f>
        <v>3351.6</v>
      </c>
      <c r="F609" s="34"/>
      <c r="G609" s="29"/>
      <c r="H609" s="12"/>
      <c r="I609" s="104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2.75" customHeight="1">
      <c r="A610" s="29"/>
      <c r="B610" s="119">
        <v>42769.0</v>
      </c>
      <c r="C610" s="72"/>
      <c r="D610" s="120">
        <v>4669.0</v>
      </c>
      <c r="E610" s="33">
        <f>E609-191.52</f>
        <v>3160.08</v>
      </c>
      <c r="F610" s="34"/>
      <c r="G610" s="29"/>
      <c r="H610" s="12"/>
      <c r="I610" s="104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2.75" customHeight="1">
      <c r="A611" s="29"/>
      <c r="B611" s="119">
        <v>42804.0</v>
      </c>
      <c r="C611" s="72"/>
      <c r="D611" s="120">
        <v>4993.0</v>
      </c>
      <c r="E611" s="33">
        <f>E610-383.04</f>
        <v>2777.04</v>
      </c>
      <c r="F611" s="34"/>
      <c r="G611" s="29"/>
      <c r="H611" s="12"/>
      <c r="I611" s="104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2.75" customHeight="1">
      <c r="A612" s="29"/>
      <c r="B612" s="119">
        <v>42822.0</v>
      </c>
      <c r="C612" s="72"/>
      <c r="D612" s="120">
        <v>5193.0</v>
      </c>
      <c r="E612" s="33">
        <f>E611-478.8</f>
        <v>2298.24</v>
      </c>
      <c r="F612" s="34"/>
      <c r="G612" s="29"/>
      <c r="H612" s="12"/>
      <c r="I612" s="104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2.75" customHeight="1">
      <c r="A613" s="29"/>
      <c r="B613" s="119">
        <v>42851.0</v>
      </c>
      <c r="C613" s="72"/>
      <c r="D613" s="120">
        <v>5515.0</v>
      </c>
      <c r="E613" s="33">
        <f>E612-383.04</f>
        <v>1915.2</v>
      </c>
      <c r="F613" s="34"/>
      <c r="G613" s="29"/>
      <c r="H613" s="12"/>
      <c r="I613" s="104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2.75" customHeight="1">
      <c r="A614" s="29"/>
      <c r="B614" s="119">
        <v>42881.0</v>
      </c>
      <c r="C614" s="119">
        <v>42887.0</v>
      </c>
      <c r="D614" s="120">
        <v>5979.0</v>
      </c>
      <c r="E614" s="33">
        <f>E613-478.8</f>
        <v>1436.4</v>
      </c>
      <c r="F614" s="34"/>
      <c r="G614" s="29"/>
      <c r="H614" s="12"/>
      <c r="I614" s="104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2.75" customHeight="1">
      <c r="A615" s="29"/>
      <c r="B615" s="119">
        <v>42913.0</v>
      </c>
      <c r="C615" s="119">
        <v>42922.0</v>
      </c>
      <c r="D615" s="120">
        <v>6452.0</v>
      </c>
      <c r="E615" s="33">
        <f>E614-957.6</f>
        <v>478.8</v>
      </c>
      <c r="F615" s="34"/>
      <c r="G615" s="29"/>
      <c r="H615" s="12"/>
      <c r="I615" s="104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2.75" customHeight="1">
      <c r="A616" s="29"/>
      <c r="B616" s="119">
        <v>42978.0</v>
      </c>
      <c r="C616" s="265">
        <v>42964.0</v>
      </c>
      <c r="D616" s="120">
        <v>7083.0</v>
      </c>
      <c r="E616" s="33">
        <f>E615-478.8</f>
        <v>0</v>
      </c>
      <c r="F616" s="34"/>
      <c r="G616" s="29"/>
      <c r="H616" s="12"/>
      <c r="I616" s="104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2.75" customHeight="1">
      <c r="A617" s="52" t="s">
        <v>1089</v>
      </c>
      <c r="B617" s="53">
        <v>42720.0</v>
      </c>
      <c r="C617" s="73">
        <v>3007.0</v>
      </c>
      <c r="D617" s="52" t="s">
        <v>1094</v>
      </c>
      <c r="E617" s="55">
        <v>36580.0</v>
      </c>
      <c r="F617" s="56">
        <v>43077.0</v>
      </c>
      <c r="G617" s="52" t="s">
        <v>420</v>
      </c>
      <c r="H617" s="1"/>
      <c r="I617" s="1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21"/>
      <c r="B618" s="122">
        <v>42851.0</v>
      </c>
      <c r="C618" s="5"/>
      <c r="D618" s="123">
        <v>5512.0</v>
      </c>
      <c r="E618" s="59">
        <f>E617-36578</f>
        <v>2</v>
      </c>
      <c r="F618" s="124"/>
      <c r="G618" s="121"/>
      <c r="H618" s="67"/>
      <c r="I618" s="113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ht="12.75" customHeight="1">
      <c r="A619" s="44" t="s">
        <v>1095</v>
      </c>
      <c r="B619" s="45">
        <v>42681.0</v>
      </c>
      <c r="C619" s="266">
        <v>3009.0</v>
      </c>
      <c r="D619" s="44" t="s">
        <v>1096</v>
      </c>
      <c r="E619" s="47">
        <v>14683.2</v>
      </c>
      <c r="F619" s="48">
        <v>43045.0</v>
      </c>
      <c r="G619" s="44" t="s">
        <v>1097</v>
      </c>
      <c r="H619" s="30" t="s">
        <v>22</v>
      </c>
      <c r="I619" s="1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44"/>
      <c r="B620" s="45"/>
      <c r="C620" s="89"/>
      <c r="D620" s="44"/>
      <c r="E620" s="47">
        <f>E619-14646.4</f>
        <v>36.8</v>
      </c>
      <c r="F620" s="48"/>
      <c r="G620" s="44"/>
      <c r="H620" s="1"/>
      <c r="I620" s="1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44" t="s">
        <v>1095</v>
      </c>
      <c r="B621" s="45">
        <v>42705.0</v>
      </c>
      <c r="C621" s="266">
        <v>3009.0</v>
      </c>
      <c r="D621" s="44" t="s">
        <v>1098</v>
      </c>
      <c r="E621" s="47">
        <v>40000.0</v>
      </c>
      <c r="F621" s="48">
        <v>43045.0</v>
      </c>
      <c r="G621" s="44" t="s">
        <v>1099</v>
      </c>
      <c r="H621" s="30" t="s">
        <v>22</v>
      </c>
      <c r="I621" s="1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44"/>
      <c r="B622" s="115">
        <v>42801.0</v>
      </c>
      <c r="C622" s="89"/>
      <c r="D622" s="116">
        <v>9862.0</v>
      </c>
      <c r="E622" s="47">
        <f>E621-39918.89</f>
        <v>81.11</v>
      </c>
      <c r="F622" s="48"/>
      <c r="G622" s="44"/>
      <c r="H622" s="1"/>
      <c r="I622" s="1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52" t="s">
        <v>1100</v>
      </c>
      <c r="B623" s="53">
        <v>42716.0</v>
      </c>
      <c r="C623" s="73">
        <v>3036.0</v>
      </c>
      <c r="D623" s="52" t="s">
        <v>1101</v>
      </c>
      <c r="E623" s="55">
        <v>2467.2</v>
      </c>
      <c r="F623" s="56">
        <v>43080.0</v>
      </c>
      <c r="G623" s="52" t="s">
        <v>1102</v>
      </c>
      <c r="H623" s="1"/>
      <c r="I623" s="1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52"/>
      <c r="B624" s="122">
        <v>42832.0</v>
      </c>
      <c r="C624" s="5"/>
      <c r="D624" s="123">
        <v>2253.0</v>
      </c>
      <c r="E624" s="59">
        <f>E623-1500</f>
        <v>967.2</v>
      </c>
      <c r="F624" s="56"/>
      <c r="G624" s="52"/>
      <c r="H624" s="1"/>
      <c r="I624" s="1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52"/>
      <c r="B625" s="122">
        <v>42865.0</v>
      </c>
      <c r="C625" s="5"/>
      <c r="D625" s="123">
        <v>2391.0</v>
      </c>
      <c r="E625" s="59">
        <f>E624-930</f>
        <v>37.2</v>
      </c>
      <c r="F625" s="56"/>
      <c r="G625" s="52"/>
      <c r="H625" s="1"/>
      <c r="I625" s="1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29" t="s">
        <v>1100</v>
      </c>
      <c r="B626" s="31">
        <v>42718.0</v>
      </c>
      <c r="C626" s="72">
        <v>3036.0</v>
      </c>
      <c r="D626" s="29" t="s">
        <v>1103</v>
      </c>
      <c r="E626" s="33">
        <v>86.88</v>
      </c>
      <c r="F626" s="34"/>
      <c r="G626" s="29" t="s">
        <v>457</v>
      </c>
      <c r="H626" s="1"/>
      <c r="I626" s="15"/>
      <c r="J626" s="67"/>
      <c r="K626" s="67"/>
      <c r="L626" s="67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29"/>
      <c r="B627" s="41">
        <v>42795.0</v>
      </c>
      <c r="C627" s="72"/>
      <c r="D627" s="42">
        <v>2084.0</v>
      </c>
      <c r="E627" s="33">
        <f>E626-86.88</f>
        <v>0</v>
      </c>
      <c r="F627" s="34"/>
      <c r="G627" s="29"/>
      <c r="H627" s="1"/>
      <c r="I627" s="15"/>
      <c r="J627" s="67"/>
      <c r="K627" s="67"/>
      <c r="L627" s="67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29" t="s">
        <v>1100</v>
      </c>
      <c r="B628" s="31">
        <v>42716.0</v>
      </c>
      <c r="C628" s="72">
        <v>3036.0</v>
      </c>
      <c r="D628" s="29" t="s">
        <v>1104</v>
      </c>
      <c r="E628" s="33">
        <v>5557.5</v>
      </c>
      <c r="F628" s="34">
        <v>43046.0</v>
      </c>
      <c r="G628" s="29" t="s">
        <v>441</v>
      </c>
      <c r="H628" s="1"/>
      <c r="I628" s="15"/>
      <c r="J628" s="67"/>
      <c r="K628" s="67"/>
      <c r="L628" s="67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29"/>
      <c r="B629" s="119">
        <v>42907.0</v>
      </c>
      <c r="C629" s="119">
        <v>42908.0</v>
      </c>
      <c r="D629" s="120">
        <v>2618.0</v>
      </c>
      <c r="E629" s="33">
        <f>E628-5557.5</f>
        <v>0</v>
      </c>
      <c r="F629" s="34"/>
      <c r="G629" s="29"/>
      <c r="H629" s="67"/>
      <c r="I629" s="113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ht="12.75" customHeight="1">
      <c r="A630" s="52" t="s">
        <v>1105</v>
      </c>
      <c r="B630" s="53">
        <v>42644.0</v>
      </c>
      <c r="C630" s="73">
        <v>3950.0</v>
      </c>
      <c r="D630" s="52" t="s">
        <v>1106</v>
      </c>
      <c r="E630" s="55">
        <f>49714.25</f>
        <v>49714.25</v>
      </c>
      <c r="F630" s="56">
        <v>42994.0</v>
      </c>
      <c r="G630" s="52" t="s">
        <v>1107</v>
      </c>
      <c r="H630" s="19" t="s">
        <v>13</v>
      </c>
      <c r="I630" s="1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24">
        <v>42921.0</v>
      </c>
      <c r="C631" s="267">
        <v>42927.0</v>
      </c>
      <c r="D631" s="268">
        <v>2853.0</v>
      </c>
      <c r="E631" s="21">
        <v>44676.0</v>
      </c>
      <c r="F631" s="1"/>
      <c r="G631" s="1"/>
      <c r="H631" s="1"/>
      <c r="I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24">
        <v>42954.0</v>
      </c>
      <c r="C632" s="267">
        <v>42958.0</v>
      </c>
      <c r="D632" s="268">
        <v>2882.0</v>
      </c>
      <c r="E632" s="21">
        <f>E631-11275.69</f>
        <v>33400.31</v>
      </c>
      <c r="F632" s="1"/>
      <c r="G632" s="1"/>
      <c r="H632" s="1"/>
      <c r="I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24">
        <v>42991.0</v>
      </c>
      <c r="C633" s="267">
        <v>43000.0</v>
      </c>
      <c r="D633" s="268">
        <v>2918.0</v>
      </c>
      <c r="E633" s="21">
        <f>E632-21436.76</f>
        <v>11963.55</v>
      </c>
      <c r="F633" s="1"/>
      <c r="G633" s="1"/>
      <c r="H633" s="1"/>
      <c r="I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24">
        <v>43025.0</v>
      </c>
      <c r="C634" s="267">
        <v>43033.0</v>
      </c>
      <c r="D634" s="268">
        <v>2959.0</v>
      </c>
      <c r="E634" s="21">
        <f>E633-9431.75</f>
        <v>2531.8</v>
      </c>
      <c r="F634" s="1"/>
      <c r="G634" s="1"/>
      <c r="H634" s="1"/>
      <c r="I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24">
        <v>43055.0</v>
      </c>
      <c r="C635" s="267">
        <v>43062.0</v>
      </c>
      <c r="D635" s="268">
        <v>2997.0</v>
      </c>
      <c r="E635" s="27">
        <f>E634-6940.36</f>
        <v>-4408.56</v>
      </c>
      <c r="F635" s="1"/>
      <c r="G635" s="1"/>
      <c r="H635" s="1"/>
      <c r="I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52" t="s">
        <v>1108</v>
      </c>
      <c r="B636" s="53">
        <v>42489.0</v>
      </c>
      <c r="C636" s="73">
        <v>3007.0</v>
      </c>
      <c r="D636" s="52" t="s">
        <v>1109</v>
      </c>
      <c r="E636" s="55">
        <v>6008.6</v>
      </c>
      <c r="F636" s="56">
        <v>42853.0</v>
      </c>
      <c r="G636" s="52" t="s">
        <v>1110</v>
      </c>
      <c r="H636" s="1"/>
      <c r="I636" s="1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50"/>
      <c r="B637" s="61">
        <v>42774.0</v>
      </c>
      <c r="C637" s="5"/>
      <c r="D637" s="62">
        <v>34543.0</v>
      </c>
      <c r="E637" s="59">
        <f>E636-639.8</f>
        <v>5368.8</v>
      </c>
      <c r="F637" s="60"/>
      <c r="G637" s="50"/>
      <c r="H637" s="1"/>
      <c r="I637" s="1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50"/>
      <c r="B638" s="61">
        <v>42779.0</v>
      </c>
      <c r="C638" s="5"/>
      <c r="D638" s="62">
        <v>34603.0</v>
      </c>
      <c r="E638" s="59">
        <f>E637-180</f>
        <v>5188.8</v>
      </c>
      <c r="F638" s="60"/>
      <c r="G638" s="50"/>
      <c r="H638" s="1"/>
      <c r="I638" s="1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50"/>
      <c r="B639" s="61">
        <v>42844.0</v>
      </c>
      <c r="C639" s="5"/>
      <c r="D639" s="62">
        <v>35219.0</v>
      </c>
      <c r="E639" s="59">
        <f>E638-3875.04</f>
        <v>1313.76</v>
      </c>
      <c r="F639" s="60"/>
      <c r="G639" s="50"/>
      <c r="H639" s="1"/>
      <c r="I639" s="1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50"/>
      <c r="B640" s="61">
        <v>42844.0</v>
      </c>
      <c r="C640" s="5"/>
      <c r="D640" s="62">
        <v>35335.0</v>
      </c>
      <c r="E640" s="59">
        <f>E639-1313.76</f>
        <v>0</v>
      </c>
      <c r="F640" s="60"/>
      <c r="G640" s="50"/>
      <c r="H640" s="1"/>
      <c r="I640" s="1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44" t="s">
        <v>1111</v>
      </c>
      <c r="B641" s="45">
        <v>42612.0</v>
      </c>
      <c r="C641" s="89">
        <v>3022.0</v>
      </c>
      <c r="D641" s="44" t="s">
        <v>1112</v>
      </c>
      <c r="E641" s="47">
        <v>3563.5</v>
      </c>
      <c r="F641" s="48">
        <v>42965.0</v>
      </c>
      <c r="G641" s="44" t="s">
        <v>694</v>
      </c>
      <c r="H641" s="30" t="s">
        <v>22</v>
      </c>
      <c r="I641" s="1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44"/>
      <c r="B642" s="45"/>
      <c r="C642" s="89"/>
      <c r="D642" s="44"/>
      <c r="E642" s="47">
        <f>E641-3222.5</f>
        <v>341</v>
      </c>
      <c r="F642" s="48"/>
      <c r="G642" s="44"/>
      <c r="H642" s="1"/>
      <c r="I642" s="1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29" t="s">
        <v>1111</v>
      </c>
      <c r="B643" s="31">
        <v>42612.0</v>
      </c>
      <c r="C643" s="72">
        <v>3022.0</v>
      </c>
      <c r="D643" s="29" t="s">
        <v>1113</v>
      </c>
      <c r="E643" s="33">
        <v>5388.75</v>
      </c>
      <c r="F643" s="34">
        <v>42965.0</v>
      </c>
      <c r="G643" s="29" t="s">
        <v>694</v>
      </c>
      <c r="H643" s="1"/>
      <c r="I643" s="1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29"/>
      <c r="B644" s="31"/>
      <c r="C644" s="72"/>
      <c r="D644" s="29"/>
      <c r="E644" s="33">
        <f>E643-5388.75</f>
        <v>0</v>
      </c>
      <c r="F644" s="34"/>
      <c r="G644" s="29"/>
      <c r="H644" s="1"/>
      <c r="I644" s="1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52" t="s">
        <v>1114</v>
      </c>
      <c r="B645" s="53">
        <v>42644.0</v>
      </c>
      <c r="C645" s="73">
        <v>3957.0</v>
      </c>
      <c r="D645" s="52" t="s">
        <v>1115</v>
      </c>
      <c r="E645" s="55">
        <v>13263.33</v>
      </c>
      <c r="F645" s="56">
        <v>42988.0</v>
      </c>
      <c r="G645" s="52" t="s">
        <v>1116</v>
      </c>
      <c r="H645" s="1"/>
      <c r="I645" s="1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50"/>
      <c r="B646" s="57"/>
      <c r="C646" s="5"/>
      <c r="D646" s="50"/>
      <c r="E646" s="59">
        <f t="shared" ref="E646:E653" si="8">E645-1105.28</f>
        <v>12158.05</v>
      </c>
      <c r="F646" s="60"/>
      <c r="G646" s="50"/>
      <c r="H646" s="1"/>
      <c r="I646" s="1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50"/>
      <c r="B647" s="57"/>
      <c r="C647" s="5"/>
      <c r="D647" s="50"/>
      <c r="E647" s="59">
        <f t="shared" si="8"/>
        <v>11052.77</v>
      </c>
      <c r="F647" s="60"/>
      <c r="G647" s="50"/>
      <c r="H647" s="1"/>
      <c r="I647" s="1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50"/>
      <c r="B648" s="57"/>
      <c r="C648" s="5"/>
      <c r="D648" s="50"/>
      <c r="E648" s="59">
        <f t="shared" si="8"/>
        <v>9947.49</v>
      </c>
      <c r="F648" s="60"/>
      <c r="G648" s="50"/>
      <c r="H648" s="1"/>
      <c r="I648" s="1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50"/>
      <c r="B649" s="57"/>
      <c r="C649" s="5"/>
      <c r="D649" s="50"/>
      <c r="E649" s="59">
        <f t="shared" si="8"/>
        <v>8842.21</v>
      </c>
      <c r="F649" s="60"/>
      <c r="G649" s="50"/>
      <c r="H649" s="1"/>
      <c r="I649" s="1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50"/>
      <c r="B650" s="61">
        <v>42783.0</v>
      </c>
      <c r="C650" s="5"/>
      <c r="D650" s="62">
        <v>332460.0</v>
      </c>
      <c r="E650" s="59">
        <f t="shared" si="8"/>
        <v>7736.93</v>
      </c>
      <c r="F650" s="60"/>
      <c r="G650" s="50"/>
      <c r="H650" s="1"/>
      <c r="I650" s="1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50"/>
      <c r="B651" s="61">
        <v>42849.0</v>
      </c>
      <c r="C651" s="5"/>
      <c r="D651" s="62">
        <v>342001.0</v>
      </c>
      <c r="E651" s="59">
        <f t="shared" si="8"/>
        <v>6631.65</v>
      </c>
      <c r="F651" s="60"/>
      <c r="G651" s="50"/>
      <c r="H651" s="1"/>
      <c r="I651" s="1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50"/>
      <c r="B652" s="61">
        <v>42873.0</v>
      </c>
      <c r="C652" s="61">
        <v>42880.0</v>
      </c>
      <c r="D652" s="62">
        <v>346805.0</v>
      </c>
      <c r="E652" s="59">
        <f t="shared" si="8"/>
        <v>5526.37</v>
      </c>
      <c r="F652" s="60"/>
      <c r="G652" s="50"/>
      <c r="H652" s="1"/>
      <c r="I652" s="1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50"/>
      <c r="B653" s="61">
        <v>42905.0</v>
      </c>
      <c r="C653" s="61">
        <v>42914.0</v>
      </c>
      <c r="D653" s="62">
        <v>351619.0</v>
      </c>
      <c r="E653" s="59">
        <f t="shared" si="8"/>
        <v>4421.09</v>
      </c>
      <c r="F653" s="60"/>
      <c r="G653" s="50"/>
      <c r="H653" s="1"/>
      <c r="I653" s="1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50"/>
      <c r="B654" s="61">
        <v>42976.0</v>
      </c>
      <c r="C654" s="22">
        <v>42979.0</v>
      </c>
      <c r="D654" s="62">
        <v>361563.0</v>
      </c>
      <c r="E654" s="59">
        <f>E653-1105.25</f>
        <v>3315.84</v>
      </c>
      <c r="F654" s="60"/>
      <c r="G654" s="50"/>
      <c r="H654" s="1"/>
      <c r="I654" s="1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29" t="s">
        <v>1122</v>
      </c>
      <c r="B655" s="31">
        <v>42720.0</v>
      </c>
      <c r="C655" s="72">
        <v>3009.0</v>
      </c>
      <c r="D655" s="29" t="s">
        <v>1123</v>
      </c>
      <c r="E655" s="33">
        <v>1107.0</v>
      </c>
      <c r="F655" s="34"/>
      <c r="G655" s="29" t="s">
        <v>342</v>
      </c>
      <c r="H655" s="12"/>
      <c r="I655" s="104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2.75" customHeight="1">
      <c r="A656" s="29"/>
      <c r="B656" s="31">
        <v>43003.0</v>
      </c>
      <c r="C656" s="269">
        <v>43024.0</v>
      </c>
      <c r="D656" s="29">
        <v>99197.0</v>
      </c>
      <c r="E656" s="33">
        <f>E655-1107</f>
        <v>0</v>
      </c>
      <c r="F656" s="34"/>
      <c r="G656" s="29"/>
      <c r="H656" s="12"/>
      <c r="I656" s="104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2.75" customHeight="1">
      <c r="A657" s="29" t="s">
        <v>1122</v>
      </c>
      <c r="B657" s="31">
        <v>42720.0</v>
      </c>
      <c r="C657" s="72">
        <v>3036.0</v>
      </c>
      <c r="D657" s="29" t="s">
        <v>1124</v>
      </c>
      <c r="E657" s="33">
        <v>220.0</v>
      </c>
      <c r="F657" s="34">
        <v>43046.0</v>
      </c>
      <c r="G657" s="29" t="s">
        <v>441</v>
      </c>
      <c r="H657" s="1"/>
      <c r="I657" s="1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29"/>
      <c r="B658" s="270">
        <v>42814.0</v>
      </c>
      <c r="C658" s="72"/>
      <c r="D658" s="271">
        <v>90598.0</v>
      </c>
      <c r="E658" s="33">
        <f>E657-220</f>
        <v>0</v>
      </c>
      <c r="F658" s="34"/>
      <c r="G658" s="29"/>
      <c r="H658" s="67"/>
      <c r="I658" s="113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2.75" customHeight="1">
      <c r="A659" s="29" t="s">
        <v>1122</v>
      </c>
      <c r="B659" s="31">
        <v>42716.0</v>
      </c>
      <c r="C659" s="72">
        <v>3036.0</v>
      </c>
      <c r="D659" s="29" t="s">
        <v>1136</v>
      </c>
      <c r="E659" s="33">
        <v>110.0</v>
      </c>
      <c r="F659" s="34">
        <v>43046.0</v>
      </c>
      <c r="G659" s="29" t="s">
        <v>441</v>
      </c>
      <c r="H659" s="1"/>
      <c r="I659" s="1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29"/>
      <c r="B660" s="270">
        <v>42786.0</v>
      </c>
      <c r="C660" s="72"/>
      <c r="D660" s="271">
        <v>89453.0</v>
      </c>
      <c r="E660" s="33">
        <f>E659-110</f>
        <v>0</v>
      </c>
      <c r="F660" s="34"/>
      <c r="G660" s="29"/>
      <c r="H660" s="67"/>
      <c r="I660" s="113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2.75" customHeight="1">
      <c r="A661" s="29" t="s">
        <v>1140</v>
      </c>
      <c r="B661" s="31">
        <v>42675.0</v>
      </c>
      <c r="C661" s="72">
        <v>3007.0</v>
      </c>
      <c r="D661" s="29" t="s">
        <v>1142</v>
      </c>
      <c r="E661" s="33">
        <v>5280.0</v>
      </c>
      <c r="F661" s="34">
        <v>43018.0</v>
      </c>
      <c r="G661" s="29" t="s">
        <v>1144</v>
      </c>
      <c r="H661" s="1"/>
      <c r="I661" s="1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29"/>
      <c r="B662" s="31"/>
      <c r="C662" s="72"/>
      <c r="D662" s="29"/>
      <c r="E662" s="33">
        <f t="shared" ref="E662:E663" si="9">E661-2640</f>
        <v>2640</v>
      </c>
      <c r="F662" s="34"/>
      <c r="G662" s="29"/>
      <c r="H662" s="1"/>
      <c r="I662" s="1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29"/>
      <c r="B663" s="31"/>
      <c r="C663" s="72"/>
      <c r="D663" s="29"/>
      <c r="E663" s="33">
        <f t="shared" si="9"/>
        <v>0</v>
      </c>
      <c r="F663" s="34"/>
      <c r="G663" s="29"/>
      <c r="H663" s="1"/>
      <c r="I663" s="1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29" t="s">
        <v>1148</v>
      </c>
      <c r="B664" s="31">
        <v>42632.0</v>
      </c>
      <c r="C664" s="72">
        <v>3020.0</v>
      </c>
      <c r="D664" s="29" t="s">
        <v>1150</v>
      </c>
      <c r="E664" s="33">
        <v>9535.5</v>
      </c>
      <c r="F664" s="34">
        <v>42978.0</v>
      </c>
      <c r="G664" s="29" t="s">
        <v>1151</v>
      </c>
      <c r="H664" s="1"/>
      <c r="I664" s="1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29"/>
      <c r="B665" s="31"/>
      <c r="C665" s="5"/>
      <c r="D665" s="29"/>
      <c r="E665" s="33">
        <f>E664-9535.5</f>
        <v>0</v>
      </c>
      <c r="F665" s="34"/>
      <c r="G665" s="29"/>
      <c r="H665" s="1"/>
      <c r="I665" s="1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52" t="s">
        <v>1154</v>
      </c>
      <c r="B666" s="53">
        <v>42720.0</v>
      </c>
      <c r="C666" s="73">
        <v>3009.0</v>
      </c>
      <c r="D666" s="52" t="s">
        <v>1155</v>
      </c>
      <c r="E666" s="55">
        <v>975.0</v>
      </c>
      <c r="F666" s="56">
        <v>43017.0</v>
      </c>
      <c r="G666" s="52" t="s">
        <v>342</v>
      </c>
      <c r="H666" s="1"/>
      <c r="I666" s="1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52"/>
      <c r="B667" s="53">
        <v>42984.0</v>
      </c>
      <c r="C667" s="272">
        <v>43005.0</v>
      </c>
      <c r="D667" s="52">
        <v>76494.0</v>
      </c>
      <c r="E667" s="59">
        <f>E666-960</f>
        <v>15</v>
      </c>
      <c r="F667" s="56"/>
      <c r="G667" s="52"/>
      <c r="H667" s="1"/>
      <c r="I667" s="1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52" t="s">
        <v>367</v>
      </c>
      <c r="B668" s="53">
        <v>42569.0</v>
      </c>
      <c r="C668" s="73">
        <v>3951.0</v>
      </c>
      <c r="D668" s="52" t="s">
        <v>1156</v>
      </c>
      <c r="E668" s="55">
        <v>1776.0</v>
      </c>
      <c r="F668" s="56">
        <v>42967.0</v>
      </c>
      <c r="G668" s="52" t="s">
        <v>1157</v>
      </c>
      <c r="H668" s="1"/>
      <c r="I668" s="1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50"/>
      <c r="B669" s="57"/>
      <c r="C669" s="5"/>
      <c r="D669" s="50"/>
      <c r="E669" s="59">
        <f t="shared" ref="E669:E670" si="10">E668-136.5</f>
        <v>1639.5</v>
      </c>
      <c r="F669" s="60"/>
      <c r="G669" s="50"/>
      <c r="H669" s="1"/>
      <c r="I669" s="1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50"/>
      <c r="B670" s="57"/>
      <c r="C670" s="5"/>
      <c r="D670" s="50"/>
      <c r="E670" s="59">
        <f t="shared" si="10"/>
        <v>1503</v>
      </c>
      <c r="F670" s="60"/>
      <c r="G670" s="50"/>
      <c r="H670" s="1"/>
      <c r="I670" s="1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50"/>
      <c r="B671" s="57"/>
      <c r="C671" s="5"/>
      <c r="D671" s="50"/>
      <c r="E671" s="59">
        <f>E670-7</f>
        <v>1496</v>
      </c>
      <c r="F671" s="60" t="s">
        <v>32</v>
      </c>
      <c r="G671" s="50"/>
      <c r="H671" s="1"/>
      <c r="I671" s="1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274"/>
      <c r="B672" s="274"/>
      <c r="C672" s="5"/>
      <c r="D672" s="274"/>
      <c r="E672" s="276">
        <f t="shared" ref="E672:E681" si="11">E671-148</f>
        <v>1348</v>
      </c>
      <c r="F672" s="274"/>
      <c r="G672" s="274"/>
      <c r="H672" s="274"/>
      <c r="I672" s="274"/>
      <c r="J672" s="278"/>
      <c r="K672" s="278"/>
      <c r="L672" s="278"/>
      <c r="M672" s="274"/>
      <c r="N672" s="274"/>
      <c r="O672" s="274"/>
      <c r="P672" s="274"/>
      <c r="Q672" s="274"/>
      <c r="R672" s="274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274"/>
      <c r="B673" s="279">
        <v>42774.0</v>
      </c>
      <c r="C673" s="5"/>
      <c r="D673" s="274">
        <v>2.0174545E7</v>
      </c>
      <c r="E673" s="276">
        <f t="shared" si="11"/>
        <v>1200</v>
      </c>
      <c r="F673" s="274"/>
      <c r="G673" s="274"/>
      <c r="H673" s="280"/>
      <c r="I673" s="280"/>
      <c r="J673" s="281"/>
      <c r="K673" s="281"/>
      <c r="L673" s="281"/>
      <c r="M673" s="280"/>
      <c r="N673" s="280"/>
      <c r="O673" s="280"/>
      <c r="P673" s="280"/>
      <c r="Q673" s="280"/>
      <c r="R673" s="280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274"/>
      <c r="B674" s="279">
        <v>42797.0</v>
      </c>
      <c r="C674" s="5"/>
      <c r="D674" s="274">
        <v>2.0176733E7</v>
      </c>
      <c r="E674" s="276">
        <f t="shared" si="11"/>
        <v>1052</v>
      </c>
      <c r="F674" s="274"/>
      <c r="G674" s="274"/>
      <c r="H674" s="280"/>
      <c r="I674" s="280"/>
      <c r="J674" s="281"/>
      <c r="K674" s="281"/>
      <c r="L674" s="281"/>
      <c r="M674" s="280"/>
      <c r="N674" s="280"/>
      <c r="O674" s="280"/>
      <c r="P674" s="280"/>
      <c r="Q674" s="280"/>
      <c r="R674" s="280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274"/>
      <c r="B675" s="279">
        <v>42844.0</v>
      </c>
      <c r="C675" s="5"/>
      <c r="D675" s="274">
        <v>2.0171051E8</v>
      </c>
      <c r="E675" s="276">
        <f t="shared" si="11"/>
        <v>904</v>
      </c>
      <c r="F675" s="274"/>
      <c r="G675" s="274"/>
      <c r="H675" s="280"/>
      <c r="I675" s="280"/>
      <c r="J675" s="281"/>
      <c r="K675" s="281"/>
      <c r="L675" s="281"/>
      <c r="M675" s="280"/>
      <c r="N675" s="280"/>
      <c r="O675" s="280"/>
      <c r="P675" s="280"/>
      <c r="Q675" s="280"/>
      <c r="R675" s="280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274"/>
      <c r="B676" s="279">
        <v>42858.0</v>
      </c>
      <c r="C676" s="279">
        <v>42880.0</v>
      </c>
      <c r="D676" s="274">
        <v>2.01712365E8</v>
      </c>
      <c r="E676" s="276">
        <f t="shared" si="11"/>
        <v>756</v>
      </c>
      <c r="F676" s="274"/>
      <c r="G676" s="274"/>
      <c r="H676" s="280"/>
      <c r="I676" s="280"/>
      <c r="J676" s="281"/>
      <c r="K676" s="281"/>
      <c r="L676" s="281"/>
      <c r="M676" s="280"/>
      <c r="N676" s="280"/>
      <c r="O676" s="280"/>
      <c r="P676" s="280"/>
      <c r="Q676" s="280"/>
      <c r="R676" s="280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274"/>
      <c r="B677" s="279">
        <v>42898.0</v>
      </c>
      <c r="C677" s="279">
        <v>42905.0</v>
      </c>
      <c r="D677" s="274">
        <v>2.01716591E8</v>
      </c>
      <c r="E677" s="276">
        <f t="shared" si="11"/>
        <v>608</v>
      </c>
      <c r="F677" s="274"/>
      <c r="G677" s="274"/>
      <c r="H677" s="280"/>
      <c r="I677" s="280"/>
      <c r="J677" s="281"/>
      <c r="K677" s="281"/>
      <c r="L677" s="281"/>
      <c r="M677" s="280"/>
      <c r="N677" s="280"/>
      <c r="O677" s="280"/>
      <c r="P677" s="280"/>
      <c r="Q677" s="280"/>
      <c r="R677" s="280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274"/>
      <c r="B678" s="279">
        <v>42921.0</v>
      </c>
      <c r="C678" s="279">
        <v>42926.0</v>
      </c>
      <c r="D678" s="274">
        <v>2.01719468E8</v>
      </c>
      <c r="E678" s="276">
        <f t="shared" si="11"/>
        <v>460</v>
      </c>
      <c r="F678" s="274"/>
      <c r="G678" s="274"/>
      <c r="H678" s="280"/>
      <c r="I678" s="280"/>
      <c r="J678" s="281"/>
      <c r="K678" s="281"/>
      <c r="L678" s="281"/>
      <c r="M678" s="280"/>
      <c r="N678" s="280"/>
      <c r="O678" s="280"/>
      <c r="P678" s="280"/>
      <c r="Q678" s="280"/>
      <c r="R678" s="280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274"/>
      <c r="B679" s="279">
        <v>42948.0</v>
      </c>
      <c r="C679" s="282">
        <v>42956.0</v>
      </c>
      <c r="D679" s="274">
        <v>2.01721565E8</v>
      </c>
      <c r="E679" s="276">
        <f t="shared" si="11"/>
        <v>312</v>
      </c>
      <c r="F679" s="274"/>
      <c r="G679" s="274"/>
      <c r="H679" s="280"/>
      <c r="I679" s="280"/>
      <c r="J679" s="281"/>
      <c r="K679" s="281"/>
      <c r="L679" s="281"/>
      <c r="M679" s="280"/>
      <c r="N679" s="280"/>
      <c r="O679" s="280"/>
      <c r="P679" s="280"/>
      <c r="Q679" s="280"/>
      <c r="R679" s="280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274"/>
      <c r="B680" s="279">
        <v>43010.0</v>
      </c>
      <c r="C680" s="282">
        <v>43061.0</v>
      </c>
      <c r="D680" s="274">
        <v>2.0172872E8</v>
      </c>
      <c r="E680" s="276">
        <f t="shared" si="11"/>
        <v>164</v>
      </c>
      <c r="F680" s="274"/>
      <c r="G680" s="274"/>
      <c r="H680" s="280"/>
      <c r="I680" s="280"/>
      <c r="J680" s="281"/>
      <c r="K680" s="281"/>
      <c r="L680" s="281"/>
      <c r="M680" s="280"/>
      <c r="N680" s="280"/>
      <c r="O680" s="280"/>
      <c r="P680" s="280"/>
      <c r="Q680" s="280"/>
      <c r="R680" s="280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274"/>
      <c r="B681" s="279">
        <v>43014.0</v>
      </c>
      <c r="C681" s="282">
        <v>43061.0</v>
      </c>
      <c r="D681" s="274">
        <v>2.0172934E8</v>
      </c>
      <c r="E681" s="276">
        <f t="shared" si="11"/>
        <v>16</v>
      </c>
      <c r="F681" s="274"/>
      <c r="G681" s="274"/>
      <c r="H681" s="280"/>
      <c r="I681" s="280"/>
      <c r="J681" s="281"/>
      <c r="K681" s="281"/>
      <c r="L681" s="281"/>
      <c r="M681" s="280"/>
      <c r="N681" s="280"/>
      <c r="O681" s="280"/>
      <c r="P681" s="280"/>
      <c r="Q681" s="280"/>
      <c r="R681" s="280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52" t="s">
        <v>1160</v>
      </c>
      <c r="B682" s="53">
        <v>42491.0</v>
      </c>
      <c r="C682" s="73">
        <v>3035.0</v>
      </c>
      <c r="D682" s="52" t="s">
        <v>1161</v>
      </c>
      <c r="E682" s="55">
        <v>60635.0</v>
      </c>
      <c r="F682" s="56">
        <v>42850.0</v>
      </c>
      <c r="G682" s="52" t="s">
        <v>1162</v>
      </c>
      <c r="H682" s="1"/>
      <c r="I682" s="1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50"/>
      <c r="B683" s="57"/>
      <c r="C683" s="5"/>
      <c r="D683" s="50"/>
      <c r="E683" s="59">
        <f>E682-7747</f>
        <v>52888</v>
      </c>
      <c r="F683" s="60"/>
      <c r="G683" s="50"/>
      <c r="H683" s="1"/>
      <c r="I683" s="1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50"/>
      <c r="B684" s="57"/>
      <c r="C684" s="5"/>
      <c r="D684" s="50"/>
      <c r="E684" s="59">
        <f>E683-8084</f>
        <v>44804</v>
      </c>
      <c r="F684" s="60"/>
      <c r="G684" s="50"/>
      <c r="H684" s="1"/>
      <c r="I684" s="1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50"/>
      <c r="B685" s="279">
        <v>42817.0</v>
      </c>
      <c r="C685" s="5"/>
      <c r="D685" s="274">
        <v>64924.0</v>
      </c>
      <c r="E685" s="59">
        <f>E684-10260</f>
        <v>34544</v>
      </c>
      <c r="F685" s="60"/>
      <c r="G685" s="50"/>
      <c r="H685" s="1"/>
      <c r="I685" s="1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50"/>
      <c r="B686" s="279">
        <v>42845.0</v>
      </c>
      <c r="C686" s="5"/>
      <c r="D686" s="274">
        <v>65653.0</v>
      </c>
      <c r="E686" s="59">
        <f>E685-31976</f>
        <v>2568</v>
      </c>
      <c r="F686" s="60"/>
      <c r="G686" s="50"/>
      <c r="H686" s="1"/>
      <c r="I686" s="1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274"/>
      <c r="B687" s="279">
        <v>42844.0</v>
      </c>
      <c r="C687" s="279">
        <v>42913.0</v>
      </c>
      <c r="D687" s="274">
        <v>65595.0</v>
      </c>
      <c r="E687" s="276">
        <f>E686-2450</f>
        <v>118</v>
      </c>
      <c r="F687" s="274"/>
      <c r="G687" s="274"/>
      <c r="H687" s="280"/>
      <c r="I687" s="280"/>
      <c r="J687" s="281"/>
      <c r="K687" s="281"/>
      <c r="L687" s="281"/>
      <c r="M687" s="280"/>
      <c r="N687" s="280"/>
      <c r="O687" s="280"/>
      <c r="P687" s="280"/>
      <c r="Q687" s="280"/>
      <c r="R687" s="280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50"/>
      <c r="B688" s="53">
        <v>42615.0</v>
      </c>
      <c r="C688" s="73">
        <v>3035.0</v>
      </c>
      <c r="D688" s="52" t="s">
        <v>1165</v>
      </c>
      <c r="E688" s="55">
        <v>38583.0</v>
      </c>
      <c r="F688" s="56"/>
      <c r="G688" s="52"/>
      <c r="H688" s="1"/>
      <c r="I688" s="1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50"/>
      <c r="B689" s="57"/>
      <c r="C689" s="5"/>
      <c r="D689" s="50"/>
      <c r="E689" s="59">
        <f>E688-4282</f>
        <v>34301</v>
      </c>
      <c r="F689" s="60"/>
      <c r="G689" s="50"/>
      <c r="H689" s="1"/>
      <c r="I689" s="1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274"/>
      <c r="B690" s="279">
        <v>42879.0</v>
      </c>
      <c r="C690" s="279">
        <v>42887.0</v>
      </c>
      <c r="D690" s="274">
        <v>66515.0</v>
      </c>
      <c r="E690" s="276">
        <f>E689-3520</f>
        <v>30781</v>
      </c>
      <c r="F690" s="274"/>
      <c r="G690" s="274"/>
      <c r="H690" s="280"/>
      <c r="I690" s="280"/>
      <c r="J690" s="281"/>
      <c r="K690" s="281"/>
      <c r="L690" s="281"/>
      <c r="M690" s="280"/>
      <c r="N690" s="280"/>
      <c r="O690" s="280"/>
      <c r="P690" s="280"/>
      <c r="Q690" s="280"/>
      <c r="R690" s="280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274"/>
      <c r="B691" s="279">
        <v>42893.0</v>
      </c>
      <c r="C691" s="279">
        <v>42895.0</v>
      </c>
      <c r="D691" s="274">
        <v>66919.0</v>
      </c>
      <c r="E691" s="276">
        <f>E690-2648</f>
        <v>28133</v>
      </c>
      <c r="F691" s="274"/>
      <c r="G691" s="274"/>
      <c r="H691" s="280"/>
      <c r="I691" s="280"/>
      <c r="J691" s="281"/>
      <c r="K691" s="281"/>
      <c r="L691" s="281"/>
      <c r="M691" s="280"/>
      <c r="N691" s="280"/>
      <c r="O691" s="280"/>
      <c r="P691" s="280"/>
      <c r="Q691" s="280"/>
      <c r="R691" s="280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274"/>
      <c r="B692" s="279">
        <v>42935.0</v>
      </c>
      <c r="C692" s="282">
        <v>42956.0</v>
      </c>
      <c r="D692" s="274">
        <v>68088.0</v>
      </c>
      <c r="E692" s="276">
        <f>E691-5747</f>
        <v>22386</v>
      </c>
      <c r="F692" s="274"/>
      <c r="G692" s="274"/>
      <c r="H692" s="280"/>
      <c r="I692" s="280"/>
      <c r="J692" s="281"/>
      <c r="K692" s="281"/>
      <c r="L692" s="281"/>
      <c r="M692" s="280"/>
      <c r="N692" s="280"/>
      <c r="O692" s="280"/>
      <c r="P692" s="280"/>
      <c r="Q692" s="280"/>
      <c r="R692" s="280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274"/>
      <c r="B693" s="279">
        <v>42979.0</v>
      </c>
      <c r="C693" s="282">
        <v>42983.0</v>
      </c>
      <c r="D693" s="274">
        <v>69274.0</v>
      </c>
      <c r="E693" s="276">
        <f>E692-17952</f>
        <v>4434</v>
      </c>
      <c r="F693" s="274"/>
      <c r="G693" s="274"/>
      <c r="H693" s="280"/>
      <c r="I693" s="280"/>
      <c r="J693" s="281"/>
      <c r="K693" s="281"/>
      <c r="L693" s="281"/>
      <c r="M693" s="280"/>
      <c r="N693" s="280"/>
      <c r="O693" s="280"/>
      <c r="P693" s="280"/>
      <c r="Q693" s="280"/>
      <c r="R693" s="280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44" t="s">
        <v>1169</v>
      </c>
      <c r="B694" s="45">
        <v>42468.0</v>
      </c>
      <c r="C694" s="89">
        <v>3036.0</v>
      </c>
      <c r="D694" s="44" t="s">
        <v>1170</v>
      </c>
      <c r="E694" s="47">
        <v>201837.32</v>
      </c>
      <c r="F694" s="48">
        <v>42832.0</v>
      </c>
      <c r="G694" s="44" t="s">
        <v>1171</v>
      </c>
      <c r="H694" s="30" t="s">
        <v>22</v>
      </c>
      <c r="I694" s="1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44"/>
      <c r="B695" s="45"/>
      <c r="C695" s="89"/>
      <c r="D695" s="44"/>
      <c r="E695" s="47">
        <f>E694-201485.1</f>
        <v>352.22</v>
      </c>
      <c r="F695" s="48"/>
      <c r="G695" s="44"/>
      <c r="H695" s="1"/>
      <c r="I695" s="1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44" t="s">
        <v>1169</v>
      </c>
      <c r="B696" s="45">
        <v>42720.0</v>
      </c>
      <c r="C696" s="89">
        <v>3036.0</v>
      </c>
      <c r="D696" s="44" t="s">
        <v>1174</v>
      </c>
      <c r="E696" s="47">
        <v>118927.68</v>
      </c>
      <c r="F696" s="48">
        <v>42832.0</v>
      </c>
      <c r="G696" s="44" t="s">
        <v>1175</v>
      </c>
      <c r="H696" s="30" t="s">
        <v>22</v>
      </c>
      <c r="I696" s="15"/>
      <c r="J696" s="111"/>
      <c r="K696" s="111"/>
      <c r="L696" s="11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44"/>
      <c r="B697" s="286">
        <v>42801.0</v>
      </c>
      <c r="C697" s="89"/>
      <c r="D697" s="287">
        <v>196921.0</v>
      </c>
      <c r="E697" s="47">
        <f>E696-118231.3</f>
        <v>696.38</v>
      </c>
      <c r="F697" s="48"/>
      <c r="G697" s="44"/>
      <c r="H697" s="1"/>
      <c r="I697" s="1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29" t="s">
        <v>1183</v>
      </c>
      <c r="B698" s="125">
        <v>42720.0</v>
      </c>
      <c r="C698" s="72">
        <v>3035.0</v>
      </c>
      <c r="D698" s="29" t="s">
        <v>1184</v>
      </c>
      <c r="E698" s="33">
        <v>54425.0</v>
      </c>
      <c r="F698" s="34"/>
      <c r="G698" s="29" t="s">
        <v>215</v>
      </c>
      <c r="H698" s="12"/>
      <c r="I698" s="104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2.75" customHeight="1">
      <c r="A699" s="29"/>
      <c r="B699" s="270">
        <v>42790.0</v>
      </c>
      <c r="C699" s="72"/>
      <c r="D699" s="271">
        <v>16.0</v>
      </c>
      <c r="E699" s="33">
        <f>E698-7023.5</f>
        <v>47401.5</v>
      </c>
      <c r="F699" s="34"/>
      <c r="G699" s="29"/>
      <c r="H699" s="12"/>
      <c r="I699" s="104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2.75" customHeight="1">
      <c r="A700" s="29"/>
      <c r="B700" s="270">
        <v>42824.0</v>
      </c>
      <c r="C700" s="72"/>
      <c r="D700" s="271">
        <v>40.0</v>
      </c>
      <c r="E700" s="33">
        <f>E699-4680.6</f>
        <v>42720.9</v>
      </c>
      <c r="F700" s="34"/>
      <c r="G700" s="29"/>
      <c r="H700" s="12"/>
      <c r="I700" s="104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2.75" customHeight="1">
      <c r="A701" s="29"/>
      <c r="B701" s="270">
        <v>42874.0</v>
      </c>
      <c r="C701" s="270">
        <v>42881.0</v>
      </c>
      <c r="D701" s="271">
        <v>48.0</v>
      </c>
      <c r="E701" s="33">
        <f>E700-4493.1</f>
        <v>38227.8</v>
      </c>
      <c r="F701" s="34"/>
      <c r="G701" s="29"/>
      <c r="H701" s="12"/>
      <c r="I701" s="104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2.75" customHeight="1">
      <c r="A702" s="29"/>
      <c r="B702" s="270">
        <v>42906.0</v>
      </c>
      <c r="C702" s="270">
        <v>42909.0</v>
      </c>
      <c r="D702" s="271">
        <v>61.0</v>
      </c>
      <c r="E702" s="33">
        <f>E701-4541.1</f>
        <v>33686.7</v>
      </c>
      <c r="F702" s="34"/>
      <c r="G702" s="29"/>
      <c r="H702" s="12"/>
      <c r="I702" s="104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2.75" customHeight="1">
      <c r="A703" s="29"/>
      <c r="B703" s="270">
        <v>42934.0</v>
      </c>
      <c r="C703" s="288">
        <v>42956.0</v>
      </c>
      <c r="D703" s="271">
        <v>79.0</v>
      </c>
      <c r="E703" s="33">
        <f>E702-5456.55</f>
        <v>28230.15</v>
      </c>
      <c r="F703" s="34"/>
      <c r="G703" s="29"/>
      <c r="H703" s="12"/>
      <c r="I703" s="104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2.75" customHeight="1">
      <c r="A704" s="29"/>
      <c r="B704" s="270">
        <v>42950.0</v>
      </c>
      <c r="C704" s="288">
        <v>42956.0</v>
      </c>
      <c r="D704" s="271">
        <v>84.0</v>
      </c>
      <c r="E704" s="33">
        <f>E703-3008.1</f>
        <v>25222.05</v>
      </c>
      <c r="F704" s="34"/>
      <c r="G704" s="29"/>
      <c r="H704" s="12"/>
      <c r="I704" s="104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2.75" customHeight="1">
      <c r="A705" s="29"/>
      <c r="B705" s="270">
        <v>43003.0</v>
      </c>
      <c r="C705" s="288">
        <v>43005.0</v>
      </c>
      <c r="D705" s="271">
        <v>132.0</v>
      </c>
      <c r="E705" s="33">
        <f>E704-5449.05</f>
        <v>19773</v>
      </c>
      <c r="F705" s="34"/>
      <c r="G705" s="29"/>
      <c r="H705" s="12"/>
      <c r="I705" s="104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2.75" customHeight="1">
      <c r="A706" s="29"/>
      <c r="B706" s="270">
        <v>43034.0</v>
      </c>
      <c r="C706" s="288">
        <v>43046.0</v>
      </c>
      <c r="D706" s="271">
        <v>160.0</v>
      </c>
      <c r="E706" s="33">
        <f>E705-19773</f>
        <v>0</v>
      </c>
      <c r="F706" s="34"/>
      <c r="G706" s="29"/>
      <c r="H706" s="12"/>
      <c r="I706" s="104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2.75" customHeight="1">
      <c r="A707" s="52" t="s">
        <v>381</v>
      </c>
      <c r="B707" s="53">
        <v>42458.0</v>
      </c>
      <c r="C707" s="73">
        <v>3007.0</v>
      </c>
      <c r="D707" s="52" t="s">
        <v>1188</v>
      </c>
      <c r="E707" s="55">
        <v>121819.11</v>
      </c>
      <c r="F707" s="56">
        <v>42822.0</v>
      </c>
      <c r="G707" s="52" t="s">
        <v>1189</v>
      </c>
      <c r="H707" s="1"/>
      <c r="I707" s="1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50"/>
      <c r="B708" s="57"/>
      <c r="C708" s="5"/>
      <c r="D708" s="50"/>
      <c r="E708" s="59">
        <f>E707-5774.23</f>
        <v>116044.88</v>
      </c>
      <c r="F708" s="60"/>
      <c r="G708" s="50"/>
      <c r="H708" s="1"/>
      <c r="I708" s="1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50"/>
      <c r="B709" s="57"/>
      <c r="C709" s="5"/>
      <c r="D709" s="50"/>
      <c r="E709" s="59">
        <f>E708-3907.06</f>
        <v>112137.82</v>
      </c>
      <c r="F709" s="60"/>
      <c r="G709" s="50"/>
      <c r="H709" s="1"/>
      <c r="I709" s="1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50"/>
      <c r="B710" s="57"/>
      <c r="C710" s="5"/>
      <c r="D710" s="50"/>
      <c r="E710" s="59">
        <f>E709-680-10702.42</f>
        <v>100755.4</v>
      </c>
      <c r="F710" s="60"/>
      <c r="G710" s="50"/>
      <c r="H710" s="1"/>
      <c r="I710" s="1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50"/>
      <c r="B711" s="57"/>
      <c r="C711" s="5"/>
      <c r="D711" s="50"/>
      <c r="E711" s="59">
        <f>E710-215.52</f>
        <v>100539.88</v>
      </c>
      <c r="F711" s="60"/>
      <c r="G711" s="50"/>
      <c r="H711" s="1"/>
      <c r="I711" s="1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50"/>
      <c r="B712" s="57"/>
      <c r="C712" s="5"/>
      <c r="D712" s="50"/>
      <c r="E712" s="59">
        <f>E711-85152.13</f>
        <v>15387.75</v>
      </c>
      <c r="F712" s="60"/>
      <c r="G712" s="50"/>
      <c r="H712" s="1"/>
      <c r="I712" s="1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21"/>
      <c r="B713" s="290">
        <v>42822.0</v>
      </c>
      <c r="C713" s="5"/>
      <c r="D713" s="278">
        <v>21917.0</v>
      </c>
      <c r="E713" s="59">
        <f>E712-15353.97</f>
        <v>33.78</v>
      </c>
      <c r="F713" s="124"/>
      <c r="G713" s="121"/>
      <c r="H713" s="67"/>
      <c r="I713" s="113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2.75" customHeight="1">
      <c r="A714" s="29" t="s">
        <v>381</v>
      </c>
      <c r="B714" s="31">
        <v>42489.0</v>
      </c>
      <c r="C714" s="72">
        <v>3007.0</v>
      </c>
      <c r="D714" s="29" t="s">
        <v>1193</v>
      </c>
      <c r="E714" s="33">
        <v>82867.26</v>
      </c>
      <c r="F714" s="34">
        <v>42853.0</v>
      </c>
      <c r="G714" s="29" t="s">
        <v>1194</v>
      </c>
      <c r="H714" s="1"/>
      <c r="I714" s="1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29"/>
      <c r="B715" s="31"/>
      <c r="C715" s="72"/>
      <c r="D715" s="29"/>
      <c r="E715" s="33">
        <f>E714-4945.2</f>
        <v>77922.06</v>
      </c>
      <c r="F715" s="34"/>
      <c r="G715" s="29"/>
      <c r="H715" s="1"/>
      <c r="I715" s="1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29"/>
      <c r="B716" s="31"/>
      <c r="C716" s="72"/>
      <c r="D716" s="29"/>
      <c r="E716" s="33">
        <f>E715-9960.13</f>
        <v>67961.93</v>
      </c>
      <c r="F716" s="34"/>
      <c r="G716" s="29"/>
      <c r="H716" s="1"/>
      <c r="I716" s="1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29"/>
      <c r="B717" s="31"/>
      <c r="C717" s="72"/>
      <c r="D717" s="29"/>
      <c r="E717" s="33">
        <f>E716-7514.05</f>
        <v>60447.88</v>
      </c>
      <c r="F717" s="34"/>
      <c r="G717" s="29"/>
      <c r="H717" s="1"/>
      <c r="I717" s="1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29"/>
      <c r="B718" s="270">
        <v>42761.0</v>
      </c>
      <c r="C718" s="72"/>
      <c r="D718" s="271">
        <v>21667.0</v>
      </c>
      <c r="E718" s="33">
        <f>E717-60447.88</f>
        <v>0</v>
      </c>
      <c r="F718" s="34"/>
      <c r="G718" s="29"/>
      <c r="H718" s="1"/>
      <c r="I718" s="1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44" t="s">
        <v>381</v>
      </c>
      <c r="B719" s="45">
        <v>42571.0</v>
      </c>
      <c r="C719" s="5"/>
      <c r="D719" s="44" t="s">
        <v>1195</v>
      </c>
      <c r="E719" s="47">
        <v>0.76</v>
      </c>
      <c r="F719" s="48"/>
      <c r="G719" s="44" t="s">
        <v>1196</v>
      </c>
      <c r="H719" s="1" t="s">
        <v>22</v>
      </c>
      <c r="I719" s="15"/>
      <c r="J719" s="25"/>
      <c r="K719" s="25"/>
      <c r="L719" s="2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29" t="s">
        <v>1197</v>
      </c>
      <c r="B720" s="31">
        <v>42612.0</v>
      </c>
      <c r="C720" s="72">
        <v>3022.0</v>
      </c>
      <c r="D720" s="29" t="s">
        <v>1198</v>
      </c>
      <c r="E720" s="33">
        <v>1507.5</v>
      </c>
      <c r="F720" s="34">
        <v>42965.0</v>
      </c>
      <c r="G720" s="29" t="s">
        <v>694</v>
      </c>
      <c r="H720" s="1"/>
      <c r="I720" s="1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29"/>
      <c r="B721" s="31"/>
      <c r="C721" s="72"/>
      <c r="D721" s="29"/>
      <c r="E721" s="33">
        <f>E720-1507.5</f>
        <v>0</v>
      </c>
      <c r="F721" s="34"/>
      <c r="G721" s="29"/>
      <c r="H721" s="1"/>
      <c r="I721" s="1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29" t="s">
        <v>1197</v>
      </c>
      <c r="B722" s="31">
        <v>42612.0</v>
      </c>
      <c r="C722" s="72">
        <v>3022.0</v>
      </c>
      <c r="D722" s="29" t="s">
        <v>1199</v>
      </c>
      <c r="E722" s="33">
        <v>6435.0</v>
      </c>
      <c r="F722" s="34">
        <v>42969.0</v>
      </c>
      <c r="G722" s="29" t="s">
        <v>1201</v>
      </c>
      <c r="H722" s="1"/>
      <c r="I722" s="1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29"/>
      <c r="B723" s="32"/>
      <c r="C723" s="72"/>
      <c r="D723" s="29"/>
      <c r="E723" s="33">
        <f>E722-6435</f>
        <v>0</v>
      </c>
      <c r="F723" s="34"/>
      <c r="G723" s="29"/>
      <c r="H723" s="1"/>
      <c r="I723" s="1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52" t="s">
        <v>387</v>
      </c>
      <c r="B724" s="53">
        <v>42480.0</v>
      </c>
      <c r="C724" s="73">
        <v>3957.0</v>
      </c>
      <c r="D724" s="52" t="s">
        <v>1204</v>
      </c>
      <c r="E724" s="55">
        <v>59800.0</v>
      </c>
      <c r="F724" s="56">
        <v>42846.0</v>
      </c>
      <c r="G724" s="52" t="s">
        <v>1206</v>
      </c>
      <c r="H724" s="1"/>
      <c r="I724" s="1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50"/>
      <c r="B725" s="58"/>
      <c r="C725" s="5"/>
      <c r="D725" s="50"/>
      <c r="E725" s="59">
        <f>E724-5700</f>
        <v>54100</v>
      </c>
      <c r="F725" s="60"/>
      <c r="G725" s="50"/>
      <c r="H725" s="1"/>
      <c r="I725" s="1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50"/>
      <c r="B726" s="58"/>
      <c r="C726" s="5"/>
      <c r="D726" s="50"/>
      <c r="E726" s="59">
        <f>E725-19900</f>
        <v>34200</v>
      </c>
      <c r="F726" s="60"/>
      <c r="G726" s="50"/>
      <c r="H726" s="1"/>
      <c r="I726" s="1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50"/>
      <c r="B727" s="58"/>
      <c r="C727" s="5"/>
      <c r="D727" s="50"/>
      <c r="E727" s="59">
        <f t="shared" ref="E727:E732" si="12">E726-5700</f>
        <v>28500</v>
      </c>
      <c r="F727" s="60"/>
      <c r="G727" s="50"/>
      <c r="H727" s="1"/>
      <c r="I727" s="1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50"/>
      <c r="B728" s="58"/>
      <c r="C728" s="5"/>
      <c r="D728" s="50"/>
      <c r="E728" s="59">
        <f t="shared" si="12"/>
        <v>22800</v>
      </c>
      <c r="F728" s="60"/>
      <c r="G728" s="50"/>
      <c r="H728" s="1"/>
      <c r="I728" s="1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50"/>
      <c r="B729" s="167">
        <v>42774.0</v>
      </c>
      <c r="C729" s="5"/>
      <c r="D729" s="123">
        <v>10062.0</v>
      </c>
      <c r="E729" s="59">
        <f t="shared" si="12"/>
        <v>17100</v>
      </c>
      <c r="F729" s="60"/>
      <c r="G729" s="50"/>
      <c r="H729" s="1"/>
      <c r="I729" s="1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50"/>
      <c r="B730" s="167">
        <v>42801.0</v>
      </c>
      <c r="C730" s="5"/>
      <c r="D730" s="123">
        <v>10071.0</v>
      </c>
      <c r="E730" s="59">
        <f t="shared" si="12"/>
        <v>11400</v>
      </c>
      <c r="F730" s="60"/>
      <c r="G730" s="50"/>
      <c r="H730" s="1"/>
      <c r="I730" s="1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50"/>
      <c r="B731" s="167">
        <v>42828.0</v>
      </c>
      <c r="C731" s="5"/>
      <c r="D731" s="123">
        <v>10081.0</v>
      </c>
      <c r="E731" s="59">
        <f t="shared" si="12"/>
        <v>5700</v>
      </c>
      <c r="F731" s="60"/>
      <c r="G731" s="50"/>
      <c r="H731" s="1"/>
      <c r="I731" s="1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50"/>
      <c r="B732" s="167">
        <v>42857.0</v>
      </c>
      <c r="C732" s="5"/>
      <c r="D732" s="123">
        <v>10093.0</v>
      </c>
      <c r="E732" s="59">
        <f t="shared" si="12"/>
        <v>0</v>
      </c>
      <c r="F732" s="60"/>
      <c r="G732" s="50"/>
      <c r="H732" s="1"/>
      <c r="I732" s="1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29" t="s">
        <v>1211</v>
      </c>
      <c r="B733" s="31">
        <v>42391.0</v>
      </c>
      <c r="C733" s="72">
        <v>3950.0</v>
      </c>
      <c r="D733" s="29" t="s">
        <v>1212</v>
      </c>
      <c r="E733" s="33">
        <v>13935.6</v>
      </c>
      <c r="F733" s="34">
        <v>42725.0</v>
      </c>
      <c r="G733" s="29" t="s">
        <v>1213</v>
      </c>
      <c r="H733" s="1"/>
      <c r="I733" s="1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29"/>
      <c r="B734" s="31"/>
      <c r="C734" s="31"/>
      <c r="D734" s="29"/>
      <c r="E734" s="33">
        <f>E733-11957.35</f>
        <v>1978.25</v>
      </c>
      <c r="F734" s="34"/>
      <c r="G734" s="29"/>
      <c r="H734" s="1"/>
      <c r="I734" s="1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29"/>
      <c r="B735" s="31"/>
      <c r="C735" s="31"/>
      <c r="D735" s="29"/>
      <c r="E735" s="33">
        <f>E734-1978.25</f>
        <v>0</v>
      </c>
      <c r="F735" s="34"/>
      <c r="G735" s="29"/>
      <c r="H735" s="1"/>
      <c r="I735" s="1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52" t="s">
        <v>1211</v>
      </c>
      <c r="B736" s="53">
        <v>42635.0</v>
      </c>
      <c r="C736" s="73">
        <v>3950.0</v>
      </c>
      <c r="D736" s="52" t="s">
        <v>1217</v>
      </c>
      <c r="E736" s="55">
        <v>19249.55</v>
      </c>
      <c r="F736" s="56"/>
      <c r="G736" s="52" t="s">
        <v>739</v>
      </c>
      <c r="H736" s="1"/>
      <c r="I736" s="1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50"/>
      <c r="B737" s="57"/>
      <c r="C737" s="5"/>
      <c r="D737" s="50"/>
      <c r="E737" s="59">
        <v>2060.0</v>
      </c>
      <c r="F737" s="60"/>
      <c r="G737" s="50"/>
      <c r="H737" s="1"/>
      <c r="I737" s="1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29" t="s">
        <v>1220</v>
      </c>
      <c r="B738" s="31">
        <v>42612.0</v>
      </c>
      <c r="C738" s="72">
        <v>3022.0</v>
      </c>
      <c r="D738" s="29" t="s">
        <v>1221</v>
      </c>
      <c r="E738" s="33">
        <v>8738.75</v>
      </c>
      <c r="F738" s="34">
        <v>42965.0</v>
      </c>
      <c r="G738" s="29" t="s">
        <v>694</v>
      </c>
      <c r="H738" s="1"/>
      <c r="I738" s="1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29"/>
      <c r="B739" s="31"/>
      <c r="C739" s="72"/>
      <c r="D739" s="29"/>
      <c r="E739" s="33">
        <f>E738-8738.75</f>
        <v>0</v>
      </c>
      <c r="F739" s="34"/>
      <c r="G739" s="29"/>
      <c r="H739" s="1"/>
      <c r="I739" s="1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29" t="s">
        <v>1223</v>
      </c>
      <c r="B740" s="125">
        <v>42720.0</v>
      </c>
      <c r="C740" s="72">
        <v>3009.0</v>
      </c>
      <c r="D740" s="29" t="s">
        <v>1224</v>
      </c>
      <c r="E740" s="33">
        <v>40500.0</v>
      </c>
      <c r="F740" s="34">
        <v>43011.0</v>
      </c>
      <c r="G740" s="29" t="s">
        <v>1225</v>
      </c>
      <c r="H740" s="12"/>
      <c r="I740" s="104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2.75" customHeight="1">
      <c r="A741" s="29"/>
      <c r="B741" s="125">
        <v>43024.0</v>
      </c>
      <c r="C741" s="269">
        <v>43055.0</v>
      </c>
      <c r="D741" s="29">
        <v>114300.0</v>
      </c>
      <c r="E741" s="33">
        <f>E740-27300</f>
        <v>13200</v>
      </c>
      <c r="F741" s="34"/>
      <c r="G741" s="29"/>
      <c r="H741" s="12"/>
      <c r="I741" s="104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2.75" customHeight="1">
      <c r="A742" s="29"/>
      <c r="B742" s="125">
        <v>43029.0</v>
      </c>
      <c r="C742" s="269">
        <v>43055.0</v>
      </c>
      <c r="D742" s="29">
        <v>114674.0</v>
      </c>
      <c r="E742" s="33">
        <f>E741-12000</f>
        <v>1200</v>
      </c>
      <c r="F742" s="34"/>
      <c r="G742" s="29"/>
      <c r="H742" s="12"/>
      <c r="I742" s="104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2.75" customHeight="1">
      <c r="A743" s="29"/>
      <c r="B743" s="125">
        <v>43045.0</v>
      </c>
      <c r="C743" s="269">
        <v>43055.0</v>
      </c>
      <c r="D743" s="29">
        <v>115125.0</v>
      </c>
      <c r="E743" s="33">
        <f>E742-1200</f>
        <v>0</v>
      </c>
      <c r="F743" s="34"/>
      <c r="G743" s="29"/>
      <c r="H743" s="12"/>
      <c r="I743" s="104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2.75" customHeight="1">
      <c r="A744" s="44" t="s">
        <v>391</v>
      </c>
      <c r="B744" s="45">
        <v>42489.0</v>
      </c>
      <c r="C744" s="89">
        <v>3007.0</v>
      </c>
      <c r="D744" s="44" t="s">
        <v>1227</v>
      </c>
      <c r="E744" s="47">
        <v>9911.9</v>
      </c>
      <c r="F744" s="48">
        <v>42853.0</v>
      </c>
      <c r="G744" s="44" t="s">
        <v>1228</v>
      </c>
      <c r="H744" s="1"/>
      <c r="I744" s="1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44"/>
      <c r="B745" s="99">
        <v>42802.0</v>
      </c>
      <c r="C745" s="89"/>
      <c r="D745" s="100">
        <v>7704.0</v>
      </c>
      <c r="E745" s="47">
        <f>E744-1594.2</f>
        <v>8317.7</v>
      </c>
      <c r="F745" s="48"/>
      <c r="G745" s="44"/>
      <c r="H745" s="1" t="s">
        <v>1231</v>
      </c>
      <c r="I745" s="1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52" t="s">
        <v>391</v>
      </c>
      <c r="B746" s="53">
        <v>42571.0</v>
      </c>
      <c r="C746" s="73">
        <v>3007.0</v>
      </c>
      <c r="D746" s="52" t="s">
        <v>1233</v>
      </c>
      <c r="E746" s="55">
        <v>40368.71</v>
      </c>
      <c r="F746" s="56">
        <v>42853.0</v>
      </c>
      <c r="G746" s="52" t="s">
        <v>1235</v>
      </c>
      <c r="H746" s="1"/>
      <c r="I746" s="1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50"/>
      <c r="B747" s="57"/>
      <c r="C747" s="5"/>
      <c r="D747" s="50"/>
      <c r="E747" s="59">
        <f>E746-2175.4-1182.22</f>
        <v>37011.09</v>
      </c>
      <c r="F747" s="60"/>
      <c r="G747" s="50"/>
      <c r="H747" s="1"/>
      <c r="I747" s="1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50"/>
      <c r="B748" s="57"/>
      <c r="C748" s="5"/>
      <c r="D748" s="50"/>
      <c r="E748" s="59">
        <f>E747-1811.09</f>
        <v>35200</v>
      </c>
      <c r="F748" s="60"/>
      <c r="G748" s="50"/>
      <c r="H748" s="1"/>
      <c r="I748" s="1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50"/>
      <c r="B749" s="57"/>
      <c r="C749" s="5"/>
      <c r="D749" s="50"/>
      <c r="E749" s="59">
        <f>E748-2954.26</f>
        <v>32245.74</v>
      </c>
      <c r="F749" s="60"/>
      <c r="G749" s="50"/>
      <c r="H749" s="1"/>
      <c r="I749" s="1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50"/>
      <c r="B750" s="57"/>
      <c r="C750" s="5"/>
      <c r="D750" s="50"/>
      <c r="E750" s="59">
        <f>E749-2071.29</f>
        <v>30174.45</v>
      </c>
      <c r="F750" s="60"/>
      <c r="G750" s="50"/>
      <c r="H750" s="1"/>
      <c r="I750" s="1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50"/>
      <c r="B751" s="61">
        <v>42740.0</v>
      </c>
      <c r="C751" s="5"/>
      <c r="D751" s="62">
        <v>7343.0</v>
      </c>
      <c r="E751" s="59">
        <f>E750-3770.45</f>
        <v>26404</v>
      </c>
      <c r="F751" s="60"/>
      <c r="G751" s="50"/>
      <c r="H751" s="1"/>
      <c r="I751" s="1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50"/>
      <c r="B752" s="61">
        <v>42773.0</v>
      </c>
      <c r="C752" s="5"/>
      <c r="D752" s="62">
        <v>7543.0</v>
      </c>
      <c r="E752" s="59">
        <f>E751-1681.52</f>
        <v>24722.48</v>
      </c>
      <c r="F752" s="60"/>
      <c r="G752" s="50"/>
      <c r="H752" s="1"/>
      <c r="I752" s="1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50"/>
      <c r="B753" s="61">
        <v>42787.0</v>
      </c>
      <c r="C753" s="5"/>
      <c r="D753" s="62">
        <v>7609.0</v>
      </c>
      <c r="E753" s="59">
        <f>E752-3094.22</f>
        <v>21628.26</v>
      </c>
      <c r="F753" s="60"/>
      <c r="G753" s="50"/>
      <c r="H753" s="1"/>
      <c r="I753" s="1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50"/>
      <c r="B754" s="61">
        <v>42822.0</v>
      </c>
      <c r="C754" s="5"/>
      <c r="D754" s="62">
        <v>7883.0</v>
      </c>
      <c r="E754" s="59">
        <f>E753-3093.41</f>
        <v>18534.85</v>
      </c>
      <c r="F754" s="60"/>
      <c r="G754" s="50"/>
      <c r="H754" s="1"/>
      <c r="I754" s="1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50"/>
      <c r="B755" s="61">
        <v>42816.0</v>
      </c>
      <c r="C755" s="5"/>
      <c r="D755" s="62">
        <v>7853.0</v>
      </c>
      <c r="E755" s="59">
        <f>E754-3507.48</f>
        <v>15027.37</v>
      </c>
      <c r="F755" s="60"/>
      <c r="G755" s="50"/>
      <c r="H755" s="1"/>
      <c r="I755" s="1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294"/>
      <c r="B756" s="295">
        <v>42844.0</v>
      </c>
      <c r="C756" s="5"/>
      <c r="D756" s="296">
        <v>8045.0</v>
      </c>
      <c r="E756" s="297">
        <f>E755-4066.31</f>
        <v>10961.06</v>
      </c>
      <c r="F756" s="298"/>
      <c r="G756" s="294"/>
      <c r="H756" s="1"/>
      <c r="I756" s="1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294"/>
      <c r="B757" s="295">
        <v>42859.0</v>
      </c>
      <c r="C757" s="5"/>
      <c r="D757" s="296">
        <v>8151.0</v>
      </c>
      <c r="E757" s="297">
        <f>E756-3690.82</f>
        <v>7270.24</v>
      </c>
      <c r="F757" s="298"/>
      <c r="G757" s="294"/>
      <c r="H757" s="1"/>
      <c r="I757" s="1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294"/>
      <c r="B758" s="295">
        <v>42879.0</v>
      </c>
      <c r="C758" s="295">
        <v>42894.0</v>
      </c>
      <c r="D758" s="296">
        <v>8271.0</v>
      </c>
      <c r="E758" s="297">
        <f>E757-2299.87</f>
        <v>4970.37</v>
      </c>
      <c r="F758" s="298"/>
      <c r="G758" s="294"/>
      <c r="H758" s="1"/>
      <c r="I758" s="1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294"/>
      <c r="B759" s="295">
        <v>42885.0</v>
      </c>
      <c r="C759" s="295">
        <v>42894.0</v>
      </c>
      <c r="D759" s="296">
        <v>8295.0</v>
      </c>
      <c r="E759" s="297">
        <f>E758-3738.96</f>
        <v>1231.41</v>
      </c>
      <c r="F759" s="298"/>
      <c r="G759" s="294"/>
      <c r="H759" s="1"/>
      <c r="I759" s="1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299"/>
      <c r="B760" s="300">
        <v>42916.0</v>
      </c>
      <c r="C760" s="22">
        <v>42926.0</v>
      </c>
      <c r="D760" s="301">
        <v>8461.0</v>
      </c>
      <c r="E760" s="302">
        <f>E759-1229.78</f>
        <v>1.63</v>
      </c>
      <c r="F760" s="303"/>
      <c r="G760" s="299"/>
      <c r="H760" s="1"/>
      <c r="I760" s="1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304" t="s">
        <v>391</v>
      </c>
      <c r="B761" s="305">
        <v>42601.0</v>
      </c>
      <c r="C761" s="72">
        <v>3007.0</v>
      </c>
      <c r="D761" s="304" t="s">
        <v>1248</v>
      </c>
      <c r="E761" s="306">
        <v>2147.4</v>
      </c>
      <c r="F761" s="307">
        <v>42919.0</v>
      </c>
      <c r="G761" s="304" t="s">
        <v>1249</v>
      </c>
      <c r="H761" s="1"/>
      <c r="I761" s="1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29"/>
      <c r="B762" s="151">
        <v>42844.0</v>
      </c>
      <c r="C762" s="72"/>
      <c r="D762" s="152">
        <v>7999.0</v>
      </c>
      <c r="E762" s="33">
        <f>E761-2147.4</f>
        <v>0</v>
      </c>
      <c r="F762" s="34"/>
      <c r="G762" s="29"/>
      <c r="H762" s="1"/>
      <c r="I762" s="1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29" t="s">
        <v>391</v>
      </c>
      <c r="B763" s="31">
        <v>42685.0</v>
      </c>
      <c r="C763" s="72">
        <v>3007.0</v>
      </c>
      <c r="D763" s="29" t="s">
        <v>1250</v>
      </c>
      <c r="E763" s="33">
        <v>927.0</v>
      </c>
      <c r="F763" s="34">
        <v>43049.0</v>
      </c>
      <c r="G763" s="29" t="s">
        <v>1093</v>
      </c>
      <c r="H763" s="1"/>
      <c r="I763" s="1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29"/>
      <c r="B764" s="31"/>
      <c r="C764" s="72"/>
      <c r="D764" s="29"/>
      <c r="E764" s="33">
        <f>E763-222.48</f>
        <v>704.52</v>
      </c>
      <c r="F764" s="34"/>
      <c r="G764" s="29"/>
      <c r="H764" s="1"/>
      <c r="I764" s="1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29"/>
      <c r="B765" s="31"/>
      <c r="C765" s="72"/>
      <c r="D765" s="29"/>
      <c r="E765" s="33">
        <f>E764-444.96</f>
        <v>259.56</v>
      </c>
      <c r="F765" s="34"/>
      <c r="G765" s="29"/>
      <c r="H765" s="1"/>
      <c r="I765" s="1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29"/>
      <c r="B766" s="41">
        <v>42783.0</v>
      </c>
      <c r="C766" s="72"/>
      <c r="D766" s="42">
        <v>7601.0</v>
      </c>
      <c r="E766" s="33">
        <f>E765-259.56</f>
        <v>0</v>
      </c>
      <c r="F766" s="34"/>
      <c r="G766" s="29"/>
      <c r="H766" s="1"/>
      <c r="I766" s="1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44" t="s">
        <v>1251</v>
      </c>
      <c r="B767" s="45">
        <v>42431.0</v>
      </c>
      <c r="C767" s="5"/>
      <c r="D767" s="44" t="s">
        <v>1252</v>
      </c>
      <c r="E767" s="47">
        <v>9680.0</v>
      </c>
      <c r="F767" s="48">
        <v>42711.0</v>
      </c>
      <c r="G767" s="44" t="s">
        <v>1253</v>
      </c>
      <c r="H767" s="1" t="s">
        <v>22</v>
      </c>
      <c r="I767" s="1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50"/>
      <c r="B768" s="57"/>
      <c r="C768" s="5"/>
      <c r="D768" s="50"/>
      <c r="E768" s="237"/>
      <c r="F768" s="60"/>
      <c r="G768" s="50"/>
      <c r="H768" s="1"/>
      <c r="I768" s="1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6" t="s">
        <v>394</v>
      </c>
      <c r="B769" s="53">
        <v>42681.0</v>
      </c>
      <c r="C769" s="73">
        <v>3957.0</v>
      </c>
      <c r="D769" s="52" t="s">
        <v>1254</v>
      </c>
      <c r="E769" s="55">
        <v>13068.0</v>
      </c>
      <c r="F769" s="56">
        <v>43045.0</v>
      </c>
      <c r="G769" s="16" t="s">
        <v>1255</v>
      </c>
      <c r="H769" s="1"/>
      <c r="I769" s="1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57"/>
      <c r="C770" s="5"/>
      <c r="D770" s="50"/>
      <c r="E770" s="59">
        <f>E769-1089</f>
        <v>11979</v>
      </c>
      <c r="F770" s="60"/>
      <c r="G770" s="50"/>
      <c r="H770" s="1"/>
      <c r="I770" s="1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57"/>
      <c r="C771" s="5"/>
      <c r="D771" s="50"/>
      <c r="E771" s="59">
        <f>E770-1003</f>
        <v>10976</v>
      </c>
      <c r="F771" s="60"/>
      <c r="G771" s="50"/>
      <c r="H771" s="1"/>
      <c r="I771" s="1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61">
        <v>42799.0</v>
      </c>
      <c r="C772" s="5"/>
      <c r="D772" s="62">
        <v>914.0</v>
      </c>
      <c r="E772" s="59">
        <f t="shared" ref="E772:E779" si="13">E771-1089</f>
        <v>9887</v>
      </c>
      <c r="F772" s="60"/>
      <c r="G772" s="50"/>
      <c r="H772" s="1"/>
      <c r="I772" s="1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61">
        <v>42828.0</v>
      </c>
      <c r="C773" s="5"/>
      <c r="D773" s="62">
        <v>924.0</v>
      </c>
      <c r="E773" s="59">
        <f t="shared" si="13"/>
        <v>8798</v>
      </c>
      <c r="F773" s="60"/>
      <c r="G773" s="50"/>
      <c r="H773" s="1"/>
      <c r="I773" s="1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61">
        <v>42857.0</v>
      </c>
      <c r="C774" s="61">
        <v>42880.0</v>
      </c>
      <c r="D774" s="62">
        <v>934.0</v>
      </c>
      <c r="E774" s="59">
        <f t="shared" si="13"/>
        <v>7709</v>
      </c>
      <c r="F774" s="60"/>
      <c r="G774" s="50"/>
      <c r="H774" s="1"/>
      <c r="I774" s="1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61">
        <v>42918.0</v>
      </c>
      <c r="C775" s="61">
        <v>42923.0</v>
      </c>
      <c r="D775" s="62">
        <v>953.0</v>
      </c>
      <c r="E775" s="59">
        <f t="shared" si="13"/>
        <v>6620</v>
      </c>
      <c r="F775" s="60"/>
      <c r="G775" s="50"/>
      <c r="H775" s="1"/>
      <c r="I775" s="1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61">
        <v>42949.0</v>
      </c>
      <c r="C776" s="22">
        <v>42956.0</v>
      </c>
      <c r="D776" s="62">
        <v>962.0</v>
      </c>
      <c r="E776" s="59">
        <f t="shared" si="13"/>
        <v>5531</v>
      </c>
      <c r="F776" s="60"/>
      <c r="G776" s="50"/>
      <c r="H776" s="1"/>
      <c r="I776" s="1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61">
        <v>42979.0</v>
      </c>
      <c r="C777" s="22">
        <v>42983.0</v>
      </c>
      <c r="D777" s="62">
        <v>972.0</v>
      </c>
      <c r="E777" s="59">
        <f t="shared" si="13"/>
        <v>4442</v>
      </c>
      <c r="F777" s="60"/>
      <c r="G777" s="50"/>
      <c r="H777" s="1"/>
      <c r="I777" s="1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61">
        <v>43011.0</v>
      </c>
      <c r="C778" s="22">
        <v>43062.0</v>
      </c>
      <c r="D778" s="62">
        <v>980.0</v>
      </c>
      <c r="E778" s="59">
        <f t="shared" si="13"/>
        <v>3353</v>
      </c>
      <c r="F778" s="60"/>
      <c r="G778" s="50"/>
      <c r="H778" s="1"/>
      <c r="I778" s="1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61">
        <v>43042.0</v>
      </c>
      <c r="C779" s="22">
        <v>43062.0</v>
      </c>
      <c r="D779" s="62">
        <v>990.0</v>
      </c>
      <c r="E779" s="59">
        <f t="shared" si="13"/>
        <v>2264</v>
      </c>
      <c r="F779" s="60"/>
      <c r="G779" s="50"/>
      <c r="H779" s="1"/>
      <c r="I779" s="1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44" t="s">
        <v>305</v>
      </c>
      <c r="B780" s="45">
        <v>42632.0</v>
      </c>
      <c r="C780" s="5"/>
      <c r="D780" s="44" t="s">
        <v>1269</v>
      </c>
      <c r="E780" s="47">
        <v>36666.0</v>
      </c>
      <c r="F780" s="48"/>
      <c r="G780" s="44" t="s">
        <v>243</v>
      </c>
      <c r="H780" s="1" t="s">
        <v>22</v>
      </c>
      <c r="I780" s="1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50"/>
      <c r="B781" s="57"/>
      <c r="C781" s="5"/>
      <c r="D781" s="50"/>
      <c r="E781" s="237"/>
      <c r="F781" s="60"/>
      <c r="G781" s="50"/>
      <c r="H781" s="1"/>
      <c r="I781" s="1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50"/>
      <c r="B782" s="57"/>
      <c r="C782" s="5"/>
      <c r="D782" s="50"/>
      <c r="E782" s="237"/>
      <c r="F782" s="60"/>
      <c r="G782" s="50"/>
      <c r="H782" s="1"/>
      <c r="I782" s="1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29" t="s">
        <v>1270</v>
      </c>
      <c r="B783" s="31">
        <v>42675.0</v>
      </c>
      <c r="C783" s="72">
        <v>3036.0</v>
      </c>
      <c r="D783" s="29" t="s">
        <v>1271</v>
      </c>
      <c r="E783" s="33">
        <v>9177.6</v>
      </c>
      <c r="F783" s="34">
        <v>43024.0</v>
      </c>
      <c r="G783" s="29" t="s">
        <v>1272</v>
      </c>
      <c r="H783" s="1"/>
      <c r="I783" s="1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29"/>
      <c r="B784" s="31"/>
      <c r="C784" s="72"/>
      <c r="D784" s="29"/>
      <c r="E784" s="33">
        <f>E783-9177.6</f>
        <v>0</v>
      </c>
      <c r="F784" s="34"/>
      <c r="G784" s="29"/>
      <c r="H784" s="1"/>
      <c r="I784" s="1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29" t="s">
        <v>1270</v>
      </c>
      <c r="B785" s="31">
        <v>42696.0</v>
      </c>
      <c r="C785" s="72">
        <v>3036.0</v>
      </c>
      <c r="D785" s="29" t="s">
        <v>1273</v>
      </c>
      <c r="E785" s="33">
        <v>9157.5</v>
      </c>
      <c r="F785" s="34">
        <v>43035.0</v>
      </c>
      <c r="G785" s="29" t="s">
        <v>545</v>
      </c>
      <c r="H785" s="1"/>
      <c r="I785" s="1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29"/>
      <c r="B786" s="31"/>
      <c r="C786" s="72"/>
      <c r="D786" s="29"/>
      <c r="E786" s="33">
        <f>E785-9157.5</f>
        <v>0</v>
      </c>
      <c r="F786" s="34"/>
      <c r="G786" s="29"/>
      <c r="H786" s="1"/>
      <c r="I786" s="1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29" t="s">
        <v>1270</v>
      </c>
      <c r="B787" s="31">
        <v>42696.0</v>
      </c>
      <c r="C787" s="72">
        <v>3036.0</v>
      </c>
      <c r="D787" s="29" t="s">
        <v>1276</v>
      </c>
      <c r="E787" s="33">
        <v>129.5</v>
      </c>
      <c r="F787" s="34">
        <v>43047.0</v>
      </c>
      <c r="G787" s="29" t="s">
        <v>568</v>
      </c>
      <c r="H787" s="1"/>
      <c r="I787" s="1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29"/>
      <c r="B788" s="31"/>
      <c r="C788" s="72"/>
      <c r="D788" s="29"/>
      <c r="E788" s="33">
        <f>E787-129.5</f>
        <v>0</v>
      </c>
      <c r="F788" s="34"/>
      <c r="G788" s="29"/>
      <c r="H788" s="1"/>
      <c r="I788" s="1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29" t="s">
        <v>1270</v>
      </c>
      <c r="B789" s="31">
        <v>42718.0</v>
      </c>
      <c r="C789" s="72">
        <v>3036.0</v>
      </c>
      <c r="D789" s="29" t="s">
        <v>1277</v>
      </c>
      <c r="E789" s="33">
        <v>1909.0</v>
      </c>
      <c r="F789" s="34">
        <v>43066.0</v>
      </c>
      <c r="G789" s="29" t="s">
        <v>457</v>
      </c>
      <c r="H789" s="1"/>
      <c r="I789" s="15"/>
      <c r="J789" s="67"/>
      <c r="K789" s="67"/>
      <c r="L789" s="67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29"/>
      <c r="B790" s="41">
        <v>42823.0</v>
      </c>
      <c r="C790" s="72"/>
      <c r="D790" s="42">
        <v>41398.0</v>
      </c>
      <c r="E790" s="33">
        <f>E789-1909</f>
        <v>0</v>
      </c>
      <c r="F790" s="34"/>
      <c r="G790" s="29"/>
      <c r="H790" s="1"/>
      <c r="I790" s="1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308" t="s">
        <v>1270</v>
      </c>
      <c r="B791" s="309">
        <v>42720.0</v>
      </c>
      <c r="C791" s="72">
        <v>3036.0</v>
      </c>
      <c r="D791" s="308" t="s">
        <v>1282</v>
      </c>
      <c r="E791" s="310">
        <v>15450.0</v>
      </c>
      <c r="F791" s="311">
        <v>43035.0</v>
      </c>
      <c r="G791" s="308" t="s">
        <v>547</v>
      </c>
      <c r="H791" s="12"/>
      <c r="I791" s="104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2.75" customHeight="1">
      <c r="A792" s="29"/>
      <c r="B792" s="119">
        <v>43013.0</v>
      </c>
      <c r="C792" s="291">
        <v>43017.0</v>
      </c>
      <c r="D792" s="292">
        <v>47673.0</v>
      </c>
      <c r="E792" s="33">
        <f>E791-15450</f>
        <v>0</v>
      </c>
      <c r="F792" s="34"/>
      <c r="G792" s="29"/>
      <c r="H792" s="29"/>
      <c r="I792" s="312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2.75" customHeight="1">
      <c r="A793" s="304" t="s">
        <v>1285</v>
      </c>
      <c r="B793" s="305">
        <v>42643.0</v>
      </c>
      <c r="C793" s="72">
        <v>3026.0</v>
      </c>
      <c r="D793" s="304" t="s">
        <v>1286</v>
      </c>
      <c r="E793" s="306">
        <v>300.7</v>
      </c>
      <c r="F793" s="307"/>
      <c r="G793" s="304" t="s">
        <v>1287</v>
      </c>
      <c r="H793" s="1"/>
      <c r="I793" s="1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29"/>
      <c r="B794" s="31"/>
      <c r="C794" s="5"/>
      <c r="D794" s="29"/>
      <c r="E794" s="33">
        <f>E793-300.7</f>
        <v>0</v>
      </c>
      <c r="F794" s="34"/>
      <c r="G794" s="29"/>
      <c r="H794" s="1"/>
      <c r="I794" s="1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52" t="s">
        <v>901</v>
      </c>
      <c r="B795" s="53">
        <v>42709.0</v>
      </c>
      <c r="C795" s="73">
        <v>3917.0</v>
      </c>
      <c r="D795" s="52" t="s">
        <v>1292</v>
      </c>
      <c r="E795" s="55">
        <v>44886.5</v>
      </c>
      <c r="F795" s="56">
        <v>43086.0</v>
      </c>
      <c r="G795" s="52" t="s">
        <v>1293</v>
      </c>
      <c r="H795" s="1"/>
      <c r="I795" s="1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50"/>
      <c r="B796" s="57"/>
      <c r="C796" s="5"/>
      <c r="D796" s="50"/>
      <c r="E796" s="59">
        <f t="shared" ref="E796:E798" si="14">E795-6109.7</f>
        <v>38776.8</v>
      </c>
      <c r="F796" s="60"/>
      <c r="G796" s="50"/>
      <c r="H796" s="1"/>
      <c r="I796" s="1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50"/>
      <c r="B797" s="61">
        <v>42753.0</v>
      </c>
      <c r="C797" s="5"/>
      <c r="D797" s="62">
        <v>97.0</v>
      </c>
      <c r="E797" s="59">
        <f t="shared" si="14"/>
        <v>32667.1</v>
      </c>
      <c r="F797" s="60"/>
      <c r="G797" s="50"/>
      <c r="H797" s="1"/>
      <c r="I797" s="1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50"/>
      <c r="B798" s="61">
        <v>42786.0</v>
      </c>
      <c r="C798" s="5"/>
      <c r="D798" s="62">
        <v>101.0</v>
      </c>
      <c r="E798" s="59">
        <f t="shared" si="14"/>
        <v>26557.4</v>
      </c>
      <c r="F798" s="60"/>
      <c r="G798" s="50"/>
      <c r="H798" s="1"/>
      <c r="I798" s="1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50"/>
      <c r="B799" s="61">
        <v>42825.0</v>
      </c>
      <c r="C799" s="5"/>
      <c r="D799" s="62">
        <v>103.0</v>
      </c>
      <c r="E799" s="59">
        <f t="shared" ref="E799:E807" si="15">E798-2354</f>
        <v>24203.4</v>
      </c>
      <c r="F799" s="60"/>
      <c r="G799" s="50"/>
      <c r="H799" s="1"/>
      <c r="I799" s="1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50"/>
      <c r="B800" s="61">
        <v>42850.0</v>
      </c>
      <c r="C800" s="5"/>
      <c r="D800" s="62">
        <v>104.0</v>
      </c>
      <c r="E800" s="59">
        <f t="shared" si="15"/>
        <v>21849.4</v>
      </c>
      <c r="F800" s="60"/>
      <c r="G800" s="50"/>
      <c r="H800" s="1"/>
      <c r="I800" s="1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50"/>
      <c r="B801" s="61">
        <v>42872.0</v>
      </c>
      <c r="C801" s="61">
        <v>42874.0</v>
      </c>
      <c r="D801" s="62">
        <v>106.0</v>
      </c>
      <c r="E801" s="59">
        <f t="shared" si="15"/>
        <v>19495.4</v>
      </c>
      <c r="F801" s="60"/>
      <c r="G801" s="50"/>
      <c r="H801" s="1"/>
      <c r="I801" s="1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50"/>
      <c r="B802" s="61">
        <v>42906.0</v>
      </c>
      <c r="C802" s="61">
        <v>42908.0</v>
      </c>
      <c r="D802" s="62">
        <v>108.0</v>
      </c>
      <c r="E802" s="59">
        <f t="shared" si="15"/>
        <v>17141.4</v>
      </c>
      <c r="F802" s="60"/>
      <c r="G802" s="50"/>
      <c r="H802" s="1"/>
      <c r="I802" s="1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50"/>
      <c r="B803" s="61">
        <v>42941.0</v>
      </c>
      <c r="C803" s="61"/>
      <c r="D803" s="62">
        <v>109.0</v>
      </c>
      <c r="E803" s="59">
        <f t="shared" si="15"/>
        <v>14787.4</v>
      </c>
      <c r="F803" s="60"/>
      <c r="G803" s="50"/>
      <c r="H803" s="1"/>
      <c r="I803" s="1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50"/>
      <c r="B804" s="61">
        <v>42975.0</v>
      </c>
      <c r="C804" s="61">
        <v>42983.0</v>
      </c>
      <c r="D804" s="62">
        <v>110.0</v>
      </c>
      <c r="E804" s="59">
        <f t="shared" si="15"/>
        <v>12433.4</v>
      </c>
      <c r="F804" s="60"/>
      <c r="G804" s="50"/>
      <c r="H804" s="1"/>
      <c r="I804" s="1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50"/>
      <c r="B805" s="61">
        <v>43010.0</v>
      </c>
      <c r="C805" s="22">
        <v>43062.0</v>
      </c>
      <c r="D805" s="62">
        <v>111.0</v>
      </c>
      <c r="E805" s="59">
        <f t="shared" si="15"/>
        <v>10079.4</v>
      </c>
      <c r="F805" s="60"/>
      <c r="G805" s="50"/>
      <c r="H805" s="1"/>
      <c r="I805" s="1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50"/>
      <c r="B806" s="61">
        <v>43027.0</v>
      </c>
      <c r="C806" s="22">
        <v>43062.0</v>
      </c>
      <c r="D806" s="62">
        <v>112.0</v>
      </c>
      <c r="E806" s="59">
        <f t="shared" si="15"/>
        <v>7725.4</v>
      </c>
      <c r="F806" s="60"/>
      <c r="G806" s="50"/>
      <c r="H806" s="1"/>
      <c r="I806" s="1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50"/>
      <c r="B807" s="61">
        <v>43056.0</v>
      </c>
      <c r="C807" s="22">
        <v>43062.0</v>
      </c>
      <c r="D807" s="62">
        <v>114.0</v>
      </c>
      <c r="E807" s="59">
        <f t="shared" si="15"/>
        <v>5371.4</v>
      </c>
      <c r="F807" s="60"/>
      <c r="G807" s="50"/>
      <c r="H807" s="1"/>
      <c r="I807" s="1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52" t="s">
        <v>1301</v>
      </c>
      <c r="B808" s="76">
        <v>42702.0</v>
      </c>
      <c r="C808" s="73">
        <v>3928.0</v>
      </c>
      <c r="D808" s="52" t="s">
        <v>1302</v>
      </c>
      <c r="E808" s="55">
        <v>50253.57</v>
      </c>
      <c r="F808" s="56">
        <v>43087.0</v>
      </c>
      <c r="G808" s="52" t="s">
        <v>1303</v>
      </c>
      <c r="H808" s="1"/>
      <c r="I808" s="1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52"/>
      <c r="B809" s="313">
        <v>42991.0</v>
      </c>
      <c r="C809" s="314">
        <v>42996.0</v>
      </c>
      <c r="D809" s="315">
        <v>117371.0</v>
      </c>
      <c r="E809" s="55">
        <f>E808-1545.3</f>
        <v>48708.27</v>
      </c>
      <c r="F809" s="56"/>
      <c r="G809" s="52"/>
      <c r="H809" s="16"/>
      <c r="I809" s="85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2.75" customHeight="1">
      <c r="A810" s="29" t="s">
        <v>1306</v>
      </c>
      <c r="B810" s="31">
        <v>42601.0</v>
      </c>
      <c r="C810" s="72">
        <v>3007.0</v>
      </c>
      <c r="D810" s="29" t="s">
        <v>1307</v>
      </c>
      <c r="E810" s="33">
        <v>1628.1</v>
      </c>
      <c r="F810" s="34">
        <v>42919.0</v>
      </c>
      <c r="G810" s="29" t="s">
        <v>1308</v>
      </c>
      <c r="H810" s="1"/>
      <c r="I810" s="1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29"/>
      <c r="B811" s="41">
        <v>42909.0</v>
      </c>
      <c r="C811" s="41">
        <v>42923.0</v>
      </c>
      <c r="D811" s="42">
        <v>4524.0</v>
      </c>
      <c r="E811" s="33">
        <f>E810-1628.1</f>
        <v>0</v>
      </c>
      <c r="F811" s="34"/>
      <c r="G811" s="29"/>
      <c r="H811" s="1"/>
      <c r="I811" s="1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29" t="s">
        <v>466</v>
      </c>
      <c r="B812" s="31">
        <v>42513.0</v>
      </c>
      <c r="C812" s="72">
        <v>3950.0</v>
      </c>
      <c r="D812" s="29" t="s">
        <v>1309</v>
      </c>
      <c r="E812" s="33">
        <v>357754.36</v>
      </c>
      <c r="F812" s="34">
        <v>42881.0</v>
      </c>
      <c r="G812" s="29" t="s">
        <v>1310</v>
      </c>
      <c r="H812" s="1"/>
      <c r="I812" s="1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29"/>
      <c r="B813" s="32"/>
      <c r="C813" s="72"/>
      <c r="D813" s="29"/>
      <c r="E813" s="33">
        <v>0.0</v>
      </c>
      <c r="F813" s="34"/>
      <c r="G813" s="29"/>
      <c r="H813" s="1"/>
      <c r="I813" s="1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50"/>
      <c r="B814" s="58"/>
      <c r="C814" s="5"/>
      <c r="D814" s="50"/>
      <c r="E814" s="237"/>
      <c r="F814" s="60"/>
      <c r="G814" s="50"/>
      <c r="H814" s="1"/>
      <c r="I814" s="1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44" t="s">
        <v>1312</v>
      </c>
      <c r="B815" s="48">
        <v>42632.0</v>
      </c>
      <c r="C815" s="89">
        <v>3020.0</v>
      </c>
      <c r="D815" s="44" t="s">
        <v>1313</v>
      </c>
      <c r="E815" s="47">
        <v>7410.42</v>
      </c>
      <c r="F815" s="48"/>
      <c r="G815" s="44"/>
      <c r="H815" s="30" t="s">
        <v>22</v>
      </c>
      <c r="I815" s="1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44" t="s">
        <v>1312</v>
      </c>
      <c r="B816" s="48">
        <v>42632.0</v>
      </c>
      <c r="C816" s="89">
        <v>3020.0</v>
      </c>
      <c r="D816" s="44" t="s">
        <v>1314</v>
      </c>
      <c r="E816" s="47">
        <v>3079.5</v>
      </c>
      <c r="F816" s="48"/>
      <c r="G816" s="44"/>
      <c r="H816" s="30" t="s">
        <v>22</v>
      </c>
      <c r="I816" s="1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50"/>
      <c r="B817" s="58"/>
      <c r="C817" s="5"/>
      <c r="D817" s="50"/>
      <c r="E817" s="237"/>
      <c r="F817" s="60"/>
      <c r="G817" s="50"/>
      <c r="H817" s="1"/>
      <c r="I817" s="1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52" t="s">
        <v>469</v>
      </c>
      <c r="B818" s="53">
        <v>42612.0</v>
      </c>
      <c r="C818" s="73">
        <v>3917.0</v>
      </c>
      <c r="D818" s="52" t="s">
        <v>1317</v>
      </c>
      <c r="E818" s="55">
        <v>48127.19</v>
      </c>
      <c r="F818" s="56">
        <v>43026.0</v>
      </c>
      <c r="G818" s="52" t="s">
        <v>1318</v>
      </c>
      <c r="H818" s="1" t="s">
        <v>1319</v>
      </c>
      <c r="I818" s="1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61">
        <v>42822.0</v>
      </c>
      <c r="C819" s="5"/>
      <c r="D819" s="62">
        <v>2637.0</v>
      </c>
      <c r="E819" s="59">
        <f t="shared" ref="E819:E823" si="16">E818-2707.91</f>
        <v>45419.28</v>
      </c>
      <c r="F819" s="77"/>
      <c r="G819" s="1"/>
      <c r="H819" s="1"/>
      <c r="I819" s="1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33"/>
      <c r="B820" s="61">
        <v>42853.0</v>
      </c>
      <c r="C820" s="5"/>
      <c r="D820" s="62">
        <v>2708.0</v>
      </c>
      <c r="E820" s="59">
        <f t="shared" si="16"/>
        <v>42711.37</v>
      </c>
      <c r="F820" s="316"/>
      <c r="G820" s="1"/>
      <c r="H820" s="1"/>
      <c r="I820" s="1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50"/>
      <c r="B821" s="61">
        <v>42885.0</v>
      </c>
      <c r="C821" s="61">
        <v>42887.0</v>
      </c>
      <c r="D821" s="62">
        <v>2778.0</v>
      </c>
      <c r="E821" s="59">
        <f t="shared" si="16"/>
        <v>40003.46</v>
      </c>
      <c r="F821" s="60"/>
      <c r="G821" s="50"/>
      <c r="H821" s="1"/>
      <c r="I821" s="1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294"/>
      <c r="B822" s="295">
        <v>42885.0</v>
      </c>
      <c r="C822" s="295">
        <v>42969.0</v>
      </c>
      <c r="D822" s="296">
        <v>2917.0</v>
      </c>
      <c r="E822" s="297">
        <f t="shared" si="16"/>
        <v>37295.55</v>
      </c>
      <c r="F822" s="298"/>
      <c r="G822" s="294"/>
      <c r="H822" s="1"/>
      <c r="I822" s="1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50"/>
      <c r="B823" s="61">
        <v>43007.0</v>
      </c>
      <c r="C823" s="61">
        <v>43017.0</v>
      </c>
      <c r="D823" s="62">
        <v>3079.0</v>
      </c>
      <c r="E823" s="59">
        <f t="shared" si="16"/>
        <v>34587.64</v>
      </c>
      <c r="F823" s="60"/>
      <c r="G823" s="50"/>
      <c r="H823" s="50"/>
      <c r="I823" s="317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61"/>
      <c r="C824" s="61"/>
      <c r="D824" s="62"/>
      <c r="E824" s="59"/>
      <c r="F824" s="60"/>
      <c r="G824" s="50"/>
      <c r="H824" s="50"/>
      <c r="I824" s="317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1"/>
      <c r="B825" s="1"/>
      <c r="C825" s="5"/>
      <c r="D825" s="1"/>
      <c r="E825" s="9"/>
      <c r="F825" s="77"/>
      <c r="G825" s="1"/>
      <c r="H825" s="1"/>
      <c r="I825" s="1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5"/>
      <c r="D838" s="1"/>
      <c r="E838" s="127"/>
      <c r="F838" s="1"/>
      <c r="G838" s="1"/>
      <c r="H838" s="1"/>
      <c r="I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5"/>
      <c r="D839" s="1"/>
      <c r="E839" s="127"/>
      <c r="F839" s="1"/>
      <c r="G839" s="1"/>
      <c r="H839" s="1"/>
      <c r="I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5"/>
      <c r="D840" s="1"/>
      <c r="E840" s="127"/>
      <c r="F840" s="1"/>
      <c r="G840" s="1"/>
      <c r="H840" s="1"/>
      <c r="I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5"/>
      <c r="D841" s="1"/>
      <c r="E841" s="127"/>
      <c r="F841" s="1"/>
      <c r="G841" s="1"/>
      <c r="H841" s="1"/>
      <c r="I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5"/>
      <c r="D842" s="1"/>
      <c r="E842" s="127"/>
      <c r="F842" s="1"/>
      <c r="G842" s="1"/>
      <c r="H842" s="1"/>
      <c r="I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5"/>
      <c r="D843" s="1"/>
      <c r="E843" s="127"/>
      <c r="F843" s="1"/>
      <c r="G843" s="1"/>
      <c r="H843" s="1"/>
      <c r="I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5"/>
      <c r="D844" s="1"/>
      <c r="E844" s="127"/>
      <c r="F844" s="1"/>
      <c r="G844" s="1"/>
      <c r="H844" s="1"/>
      <c r="I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5"/>
      <c r="D845" s="1"/>
      <c r="E845" s="127"/>
      <c r="F845" s="1"/>
      <c r="G845" s="1"/>
      <c r="H845" s="1"/>
      <c r="I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5"/>
      <c r="D846" s="1"/>
      <c r="E846" s="127"/>
      <c r="F846" s="1"/>
      <c r="G846" s="1"/>
      <c r="H846" s="1"/>
      <c r="I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5"/>
      <c r="D847" s="1"/>
      <c r="E847" s="127"/>
      <c r="F847" s="1"/>
      <c r="G847" s="1"/>
      <c r="H847" s="1"/>
      <c r="I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5"/>
      <c r="D848" s="1"/>
      <c r="E848" s="127"/>
      <c r="F848" s="1"/>
      <c r="G848" s="1"/>
      <c r="H848" s="1"/>
      <c r="I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5"/>
      <c r="D849" s="1"/>
      <c r="E849" s="127"/>
      <c r="F849" s="1"/>
      <c r="G849" s="1"/>
      <c r="H849" s="1"/>
      <c r="I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5"/>
      <c r="D850" s="1"/>
      <c r="E850" s="127"/>
      <c r="F850" s="1"/>
      <c r="G850" s="1"/>
      <c r="H850" s="1"/>
      <c r="I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5"/>
      <c r="D851" s="1"/>
      <c r="E851" s="127"/>
      <c r="F851" s="1"/>
      <c r="G851" s="1"/>
      <c r="H851" s="1"/>
      <c r="I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5"/>
      <c r="D852" s="1"/>
      <c r="E852" s="127"/>
      <c r="F852" s="1"/>
      <c r="G852" s="1"/>
      <c r="H852" s="1"/>
      <c r="I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5"/>
      <c r="D853" s="1"/>
      <c r="E853" s="127"/>
      <c r="F853" s="1"/>
      <c r="G853" s="1"/>
      <c r="H853" s="1"/>
      <c r="I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5"/>
      <c r="D854" s="1"/>
      <c r="E854" s="127"/>
      <c r="F854" s="1"/>
      <c r="G854" s="1"/>
      <c r="H854" s="1"/>
      <c r="I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5"/>
      <c r="D855" s="1"/>
      <c r="E855" s="127"/>
      <c r="F855" s="1"/>
      <c r="G855" s="1"/>
      <c r="H855" s="1"/>
      <c r="I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5"/>
      <c r="D856" s="1"/>
      <c r="E856" s="127"/>
      <c r="F856" s="1"/>
      <c r="G856" s="1"/>
      <c r="H856" s="1"/>
      <c r="I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5"/>
      <c r="D857" s="1"/>
      <c r="E857" s="127"/>
      <c r="F857" s="1"/>
      <c r="G857" s="1"/>
      <c r="H857" s="1"/>
      <c r="I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5"/>
      <c r="D858" s="1"/>
      <c r="E858" s="127"/>
      <c r="F858" s="1"/>
      <c r="G858" s="1"/>
      <c r="H858" s="1"/>
      <c r="I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5"/>
      <c r="D859" s="1"/>
      <c r="E859" s="127"/>
      <c r="F859" s="1"/>
      <c r="G859" s="1"/>
      <c r="H859" s="1"/>
      <c r="I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5"/>
      <c r="D860" s="1"/>
      <c r="E860" s="127"/>
      <c r="F860" s="1"/>
      <c r="G860" s="1"/>
      <c r="H860" s="1"/>
      <c r="I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5"/>
      <c r="D861" s="1"/>
      <c r="E861" s="127"/>
      <c r="F861" s="1"/>
      <c r="G861" s="1"/>
      <c r="H861" s="1"/>
      <c r="I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5"/>
      <c r="D862" s="1"/>
      <c r="E862" s="127"/>
      <c r="F862" s="1"/>
      <c r="G862" s="1"/>
      <c r="H862" s="1"/>
      <c r="I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5"/>
      <c r="D863" s="1"/>
      <c r="E863" s="127"/>
      <c r="F863" s="1"/>
      <c r="G863" s="1"/>
      <c r="H863" s="1"/>
      <c r="I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5"/>
      <c r="D864" s="1"/>
      <c r="E864" s="127"/>
      <c r="F864" s="1"/>
      <c r="G864" s="1"/>
      <c r="H864" s="1"/>
      <c r="I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5"/>
      <c r="D865" s="1"/>
      <c r="E865" s="127"/>
      <c r="F865" s="1"/>
      <c r="G865" s="1"/>
      <c r="H865" s="1"/>
      <c r="I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5"/>
      <c r="D866" s="1"/>
      <c r="E866" s="127"/>
      <c r="F866" s="1"/>
      <c r="G866" s="1"/>
      <c r="H866" s="1"/>
      <c r="I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5"/>
      <c r="D867" s="1"/>
      <c r="E867" s="127"/>
      <c r="F867" s="1"/>
      <c r="G867" s="1"/>
      <c r="H867" s="1"/>
      <c r="I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5"/>
      <c r="D868" s="1"/>
      <c r="E868" s="127"/>
      <c r="F868" s="1"/>
      <c r="G868" s="1"/>
      <c r="H868" s="1"/>
      <c r="I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5"/>
      <c r="D869" s="1"/>
      <c r="E869" s="127"/>
      <c r="F869" s="1"/>
      <c r="G869" s="1"/>
      <c r="H869" s="1"/>
      <c r="I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5"/>
      <c r="D870" s="1"/>
      <c r="E870" s="127"/>
      <c r="F870" s="1"/>
      <c r="G870" s="1"/>
      <c r="H870" s="1"/>
      <c r="I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5"/>
      <c r="D871" s="1"/>
      <c r="E871" s="127"/>
      <c r="F871" s="1"/>
      <c r="G871" s="1"/>
      <c r="H871" s="1"/>
      <c r="I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5"/>
      <c r="D872" s="1"/>
      <c r="E872" s="127"/>
      <c r="F872" s="1"/>
      <c r="G872" s="1"/>
      <c r="H872" s="1"/>
      <c r="I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5"/>
      <c r="D873" s="1"/>
      <c r="E873" s="127"/>
      <c r="F873" s="1"/>
      <c r="G873" s="1"/>
      <c r="H873" s="1"/>
      <c r="I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5"/>
      <c r="D874" s="1"/>
      <c r="E874" s="127"/>
      <c r="F874" s="1"/>
      <c r="G874" s="1"/>
      <c r="H874" s="1"/>
      <c r="I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5"/>
      <c r="D875" s="1"/>
      <c r="E875" s="127"/>
      <c r="F875" s="1"/>
      <c r="G875" s="1"/>
      <c r="H875" s="1"/>
      <c r="I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5"/>
      <c r="D876" s="1"/>
      <c r="E876" s="127"/>
      <c r="F876" s="1"/>
      <c r="G876" s="1"/>
      <c r="H876" s="1"/>
      <c r="I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5"/>
      <c r="D877" s="1"/>
      <c r="E877" s="127"/>
      <c r="F877" s="1"/>
      <c r="G877" s="1"/>
      <c r="H877" s="1"/>
      <c r="I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5"/>
      <c r="D878" s="1"/>
      <c r="E878" s="127"/>
      <c r="F878" s="1"/>
      <c r="G878" s="1"/>
      <c r="H878" s="1"/>
      <c r="I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5"/>
      <c r="D879" s="1"/>
      <c r="E879" s="127"/>
      <c r="F879" s="1"/>
      <c r="G879" s="1"/>
      <c r="H879" s="1"/>
      <c r="I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5"/>
      <c r="D880" s="1"/>
      <c r="E880" s="127"/>
      <c r="F880" s="1"/>
      <c r="G880" s="1"/>
      <c r="H880" s="1"/>
      <c r="I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5"/>
      <c r="D881" s="1"/>
      <c r="E881" s="127"/>
      <c r="F881" s="1"/>
      <c r="G881" s="1"/>
      <c r="H881" s="1"/>
      <c r="I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5"/>
      <c r="D882" s="1"/>
      <c r="E882" s="127"/>
      <c r="F882" s="1"/>
      <c r="G882" s="1"/>
      <c r="H882" s="1"/>
      <c r="I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5"/>
      <c r="D883" s="1"/>
      <c r="E883" s="127"/>
      <c r="F883" s="1"/>
      <c r="G883" s="1"/>
      <c r="H883" s="1"/>
      <c r="I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5"/>
      <c r="D884" s="1"/>
      <c r="E884" s="127"/>
      <c r="F884" s="1"/>
      <c r="G884" s="1"/>
      <c r="H884" s="1"/>
      <c r="I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5"/>
      <c r="D885" s="1"/>
      <c r="E885" s="127"/>
      <c r="F885" s="1"/>
      <c r="G885" s="1"/>
      <c r="H885" s="1"/>
      <c r="I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5"/>
      <c r="D886" s="1"/>
      <c r="E886" s="127"/>
      <c r="F886" s="1"/>
      <c r="G886" s="1"/>
      <c r="H886" s="1"/>
      <c r="I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5"/>
      <c r="D887" s="1"/>
      <c r="E887" s="127"/>
      <c r="F887" s="1"/>
      <c r="G887" s="1"/>
      <c r="H887" s="1"/>
      <c r="I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5"/>
      <c r="D888" s="1"/>
      <c r="E888" s="127"/>
      <c r="F888" s="1"/>
      <c r="G888" s="1"/>
      <c r="H888" s="1"/>
      <c r="I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5"/>
      <c r="D889" s="1"/>
      <c r="E889" s="127"/>
      <c r="F889" s="1"/>
      <c r="G889" s="1"/>
      <c r="H889" s="1"/>
      <c r="I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5"/>
      <c r="D890" s="1"/>
      <c r="E890" s="127"/>
      <c r="F890" s="1"/>
      <c r="G890" s="1"/>
      <c r="H890" s="1"/>
      <c r="I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5"/>
      <c r="D891" s="1"/>
      <c r="E891" s="127"/>
      <c r="F891" s="1"/>
      <c r="G891" s="1"/>
      <c r="H891" s="1"/>
      <c r="I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5"/>
      <c r="D892" s="1"/>
      <c r="E892" s="127"/>
      <c r="F892" s="1"/>
      <c r="G892" s="1"/>
      <c r="H892" s="1"/>
      <c r="I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5"/>
      <c r="D893" s="1"/>
      <c r="E893" s="127"/>
      <c r="F893" s="1"/>
      <c r="G893" s="1"/>
      <c r="H893" s="1"/>
      <c r="I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5"/>
      <c r="D894" s="1"/>
      <c r="E894" s="127"/>
      <c r="F894" s="1"/>
      <c r="G894" s="1"/>
      <c r="H894" s="1"/>
      <c r="I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5"/>
      <c r="D895" s="1"/>
      <c r="E895" s="127"/>
      <c r="F895" s="1"/>
      <c r="G895" s="1"/>
      <c r="H895" s="1"/>
      <c r="I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5"/>
      <c r="D896" s="1"/>
      <c r="E896" s="127"/>
      <c r="F896" s="1"/>
      <c r="G896" s="1"/>
      <c r="H896" s="1"/>
      <c r="I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5"/>
      <c r="D897" s="1"/>
      <c r="E897" s="127"/>
      <c r="F897" s="1"/>
      <c r="G897" s="1"/>
      <c r="H897" s="1"/>
      <c r="I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5"/>
      <c r="D898" s="1"/>
      <c r="E898" s="127"/>
      <c r="F898" s="1"/>
      <c r="G898" s="1"/>
      <c r="H898" s="1"/>
      <c r="I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5"/>
      <c r="D899" s="1"/>
      <c r="E899" s="127"/>
      <c r="F899" s="1"/>
      <c r="G899" s="1"/>
      <c r="H899" s="1"/>
      <c r="I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5"/>
      <c r="D900" s="1"/>
      <c r="E900" s="127"/>
      <c r="F900" s="1"/>
      <c r="G900" s="1"/>
      <c r="H900" s="1"/>
      <c r="I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5"/>
      <c r="D901" s="1"/>
      <c r="E901" s="127"/>
      <c r="F901" s="1"/>
      <c r="G901" s="1"/>
      <c r="H901" s="1"/>
      <c r="I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5"/>
      <c r="D902" s="1"/>
      <c r="E902" s="127"/>
      <c r="F902" s="1"/>
      <c r="G902" s="1"/>
      <c r="H902" s="1"/>
      <c r="I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5"/>
      <c r="D903" s="1"/>
      <c r="E903" s="127"/>
      <c r="F903" s="1"/>
      <c r="G903" s="1"/>
      <c r="H903" s="1"/>
      <c r="I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5"/>
      <c r="D904" s="1"/>
      <c r="E904" s="127"/>
      <c r="F904" s="1"/>
      <c r="G904" s="1"/>
      <c r="H904" s="1"/>
      <c r="I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5"/>
      <c r="D905" s="1"/>
      <c r="E905" s="127"/>
      <c r="F905" s="1"/>
      <c r="G905" s="1"/>
      <c r="H905" s="1"/>
      <c r="I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5"/>
      <c r="D906" s="1"/>
      <c r="E906" s="127"/>
      <c r="F906" s="1"/>
      <c r="G906" s="1"/>
      <c r="H906" s="1"/>
      <c r="I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5"/>
      <c r="D907" s="1"/>
      <c r="E907" s="127"/>
      <c r="F907" s="1"/>
      <c r="G907" s="1"/>
      <c r="H907" s="1"/>
      <c r="I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5"/>
      <c r="D908" s="1"/>
      <c r="E908" s="127"/>
      <c r="F908" s="1"/>
      <c r="G908" s="1"/>
      <c r="H908" s="1"/>
      <c r="I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5"/>
      <c r="D909" s="1"/>
      <c r="E909" s="127"/>
      <c r="F909" s="1"/>
      <c r="G909" s="1"/>
      <c r="H909" s="1"/>
      <c r="I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5"/>
      <c r="D910" s="1"/>
      <c r="E910" s="127"/>
      <c r="F910" s="1"/>
      <c r="G910" s="1"/>
      <c r="H910" s="1"/>
      <c r="I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5"/>
      <c r="D911" s="1"/>
      <c r="E911" s="127"/>
      <c r="F911" s="1"/>
      <c r="G911" s="1"/>
      <c r="H911" s="1"/>
      <c r="I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5"/>
      <c r="D912" s="1"/>
      <c r="E912" s="127"/>
      <c r="F912" s="1"/>
      <c r="G912" s="1"/>
      <c r="H912" s="1"/>
      <c r="I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5"/>
      <c r="D913" s="1"/>
      <c r="E913" s="127"/>
      <c r="F913" s="1"/>
      <c r="G913" s="1"/>
      <c r="H913" s="1"/>
      <c r="I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5"/>
      <c r="D914" s="1"/>
      <c r="E914" s="127"/>
      <c r="F914" s="1"/>
      <c r="G914" s="1"/>
      <c r="H914" s="1"/>
      <c r="I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5"/>
      <c r="D915" s="1"/>
      <c r="E915" s="127"/>
      <c r="F915" s="1"/>
      <c r="G915" s="1"/>
      <c r="H915" s="1"/>
      <c r="I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5"/>
      <c r="D916" s="1"/>
      <c r="E916" s="127"/>
      <c r="F916" s="1"/>
      <c r="G916" s="1"/>
      <c r="H916" s="1"/>
      <c r="I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5"/>
      <c r="D917" s="1"/>
      <c r="E917" s="127"/>
      <c r="F917" s="1"/>
      <c r="G917" s="1"/>
      <c r="H917" s="1"/>
      <c r="I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5"/>
      <c r="D918" s="1"/>
      <c r="E918" s="127"/>
      <c r="F918" s="1"/>
      <c r="G918" s="1"/>
      <c r="H918" s="1"/>
      <c r="I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5"/>
      <c r="D919" s="1"/>
      <c r="E919" s="127"/>
      <c r="F919" s="1"/>
      <c r="G919" s="1"/>
      <c r="H919" s="1"/>
      <c r="I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5"/>
      <c r="D920" s="1"/>
      <c r="E920" s="127"/>
      <c r="F920" s="1"/>
      <c r="G920" s="1"/>
      <c r="H920" s="1"/>
      <c r="I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5"/>
      <c r="D921" s="1"/>
      <c r="E921" s="127"/>
      <c r="F921" s="1"/>
      <c r="G921" s="1"/>
      <c r="H921" s="1"/>
      <c r="I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5"/>
      <c r="D922" s="1"/>
      <c r="E922" s="127"/>
      <c r="F922" s="1"/>
      <c r="G922" s="1"/>
      <c r="H922" s="1"/>
      <c r="I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5"/>
      <c r="D923" s="1"/>
      <c r="E923" s="127"/>
      <c r="F923" s="1"/>
      <c r="G923" s="1"/>
      <c r="H923" s="1"/>
      <c r="I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5"/>
      <c r="D924" s="1"/>
      <c r="E924" s="127"/>
      <c r="F924" s="1"/>
      <c r="G924" s="1"/>
      <c r="H924" s="1"/>
      <c r="I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5"/>
      <c r="D925" s="1"/>
      <c r="E925" s="127"/>
      <c r="F925" s="1"/>
      <c r="G925" s="1"/>
      <c r="H925" s="1"/>
      <c r="I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5"/>
      <c r="D926" s="1"/>
      <c r="E926" s="127"/>
      <c r="F926" s="1"/>
      <c r="G926" s="1"/>
      <c r="H926" s="1"/>
      <c r="I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5"/>
      <c r="D927" s="1"/>
      <c r="E927" s="127"/>
      <c r="F927" s="1"/>
      <c r="G927" s="1"/>
      <c r="H927" s="1"/>
      <c r="I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5"/>
      <c r="D928" s="1"/>
      <c r="E928" s="127"/>
      <c r="F928" s="1"/>
      <c r="G928" s="1"/>
      <c r="H928" s="1"/>
      <c r="I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5"/>
      <c r="D929" s="1"/>
      <c r="E929" s="127"/>
      <c r="F929" s="1"/>
      <c r="G929" s="1"/>
      <c r="H929" s="1"/>
      <c r="I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5"/>
      <c r="D930" s="1"/>
      <c r="E930" s="127"/>
      <c r="F930" s="1"/>
      <c r="G930" s="1"/>
      <c r="H930" s="1"/>
      <c r="I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5"/>
      <c r="D931" s="1"/>
      <c r="E931" s="127"/>
      <c r="F931" s="1"/>
      <c r="G931" s="1"/>
      <c r="H931" s="1"/>
      <c r="I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5"/>
      <c r="D932" s="1"/>
      <c r="E932" s="127"/>
      <c r="F932" s="1"/>
      <c r="G932" s="1"/>
      <c r="H932" s="1"/>
      <c r="I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5"/>
      <c r="D933" s="1"/>
      <c r="E933" s="127"/>
      <c r="F933" s="1"/>
      <c r="G933" s="1"/>
      <c r="H933" s="1"/>
      <c r="I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5"/>
      <c r="D934" s="1"/>
      <c r="E934" s="127"/>
      <c r="F934" s="1"/>
      <c r="G934" s="1"/>
      <c r="H934" s="1"/>
      <c r="I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5"/>
      <c r="D935" s="1"/>
      <c r="E935" s="127"/>
      <c r="F935" s="1"/>
      <c r="G935" s="1"/>
      <c r="H935" s="1"/>
      <c r="I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5"/>
      <c r="D936" s="1"/>
      <c r="E936" s="127"/>
      <c r="F936" s="1"/>
      <c r="G936" s="1"/>
      <c r="H936" s="1"/>
      <c r="I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5"/>
      <c r="D937" s="1"/>
      <c r="E937" s="127"/>
      <c r="F937" s="1"/>
      <c r="G937" s="1"/>
      <c r="H937" s="1"/>
      <c r="I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5"/>
      <c r="D938" s="1"/>
      <c r="E938" s="127"/>
      <c r="F938" s="1"/>
      <c r="G938" s="1"/>
      <c r="H938" s="1"/>
      <c r="I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5"/>
      <c r="D939" s="1"/>
      <c r="E939" s="127"/>
      <c r="F939" s="1"/>
      <c r="G939" s="1"/>
      <c r="H939" s="1"/>
      <c r="I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5"/>
      <c r="D940" s="1"/>
      <c r="E940" s="127"/>
      <c r="F940" s="1"/>
      <c r="G940" s="1"/>
      <c r="H940" s="1"/>
      <c r="I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5"/>
      <c r="D941" s="1"/>
      <c r="E941" s="127"/>
      <c r="F941" s="1"/>
      <c r="G941" s="1"/>
      <c r="H941" s="1"/>
      <c r="I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5"/>
      <c r="D942" s="1"/>
      <c r="E942" s="127"/>
      <c r="F942" s="1"/>
      <c r="G942" s="1"/>
      <c r="H942" s="1"/>
      <c r="I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5"/>
      <c r="D943" s="1"/>
      <c r="E943" s="127"/>
      <c r="F943" s="1"/>
      <c r="G943" s="1"/>
      <c r="H943" s="1"/>
      <c r="I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5"/>
      <c r="D944" s="1"/>
      <c r="E944" s="127"/>
      <c r="F944" s="1"/>
      <c r="G944" s="1"/>
      <c r="H944" s="1"/>
      <c r="I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5"/>
      <c r="D945" s="1"/>
      <c r="E945" s="127"/>
      <c r="F945" s="1"/>
      <c r="G945" s="1"/>
      <c r="H945" s="1"/>
      <c r="I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5"/>
      <c r="D946" s="1"/>
      <c r="E946" s="127"/>
      <c r="F946" s="1"/>
      <c r="G946" s="1"/>
      <c r="H946" s="1"/>
      <c r="I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5"/>
      <c r="D947" s="1"/>
      <c r="E947" s="127"/>
      <c r="F947" s="1"/>
      <c r="G947" s="1"/>
      <c r="H947" s="1"/>
      <c r="I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5"/>
      <c r="D948" s="1"/>
      <c r="E948" s="127"/>
      <c r="F948" s="1"/>
      <c r="G948" s="1"/>
      <c r="H948" s="1"/>
      <c r="I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5"/>
      <c r="D949" s="1"/>
      <c r="E949" s="127"/>
      <c r="F949" s="1"/>
      <c r="G949" s="1"/>
      <c r="H949" s="1"/>
      <c r="I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5"/>
      <c r="D950" s="1"/>
      <c r="E950" s="127"/>
      <c r="F950" s="1"/>
      <c r="G950" s="1"/>
      <c r="H950" s="1"/>
      <c r="I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5"/>
      <c r="D951" s="1"/>
      <c r="E951" s="127"/>
      <c r="F951" s="1"/>
      <c r="G951" s="1"/>
      <c r="H951" s="1"/>
      <c r="I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5"/>
      <c r="D952" s="1"/>
      <c r="E952" s="127"/>
      <c r="F952" s="1"/>
      <c r="G952" s="1"/>
      <c r="H952" s="1"/>
      <c r="I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5"/>
      <c r="D953" s="1"/>
      <c r="E953" s="127"/>
      <c r="F953" s="1"/>
      <c r="G953" s="1"/>
      <c r="H953" s="1"/>
      <c r="I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5"/>
      <c r="D954" s="1"/>
      <c r="E954" s="127"/>
      <c r="F954" s="1"/>
      <c r="G954" s="1"/>
      <c r="H954" s="1"/>
      <c r="I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5"/>
      <c r="D955" s="1"/>
      <c r="E955" s="127"/>
      <c r="F955" s="1"/>
      <c r="G955" s="1"/>
      <c r="H955" s="1"/>
      <c r="I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5"/>
      <c r="D956" s="1"/>
      <c r="E956" s="127"/>
      <c r="F956" s="1"/>
      <c r="G956" s="1"/>
      <c r="H956" s="1"/>
      <c r="I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5"/>
      <c r="D957" s="1"/>
      <c r="E957" s="127"/>
      <c r="F957" s="1"/>
      <c r="G957" s="1"/>
      <c r="H957" s="1"/>
      <c r="I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5"/>
      <c r="D958" s="1"/>
      <c r="E958" s="127"/>
      <c r="F958" s="1"/>
      <c r="G958" s="1"/>
      <c r="H958" s="1"/>
      <c r="I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5"/>
      <c r="D959" s="1"/>
      <c r="E959" s="127"/>
      <c r="F959" s="1"/>
      <c r="G959" s="1"/>
      <c r="H959" s="1"/>
      <c r="I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5"/>
      <c r="D960" s="1"/>
      <c r="E960" s="127"/>
      <c r="F960" s="1"/>
      <c r="G960" s="1"/>
      <c r="H960" s="1"/>
      <c r="I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5"/>
      <c r="D961" s="1"/>
      <c r="E961" s="127"/>
      <c r="F961" s="1"/>
      <c r="G961" s="1"/>
      <c r="H961" s="1"/>
      <c r="I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5"/>
      <c r="D962" s="1"/>
      <c r="E962" s="127"/>
      <c r="F962" s="1"/>
      <c r="G962" s="1"/>
      <c r="H962" s="1"/>
      <c r="I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5"/>
      <c r="D963" s="1"/>
      <c r="E963" s="127"/>
      <c r="F963" s="1"/>
      <c r="G963" s="1"/>
      <c r="H963" s="1"/>
      <c r="I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5"/>
      <c r="D964" s="1"/>
      <c r="E964" s="127"/>
      <c r="F964" s="1"/>
      <c r="G964" s="1"/>
      <c r="H964" s="1"/>
      <c r="I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5"/>
      <c r="D965" s="1"/>
      <c r="E965" s="127"/>
      <c r="F965" s="1"/>
      <c r="G965" s="1"/>
      <c r="H965" s="1"/>
      <c r="I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5"/>
      <c r="D966" s="1"/>
      <c r="E966" s="127"/>
      <c r="F966" s="1"/>
      <c r="G966" s="1"/>
      <c r="H966" s="1"/>
      <c r="I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5"/>
      <c r="D967" s="1"/>
      <c r="E967" s="127"/>
      <c r="F967" s="1"/>
      <c r="G967" s="1"/>
      <c r="H967" s="1"/>
      <c r="I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5"/>
      <c r="D968" s="1"/>
      <c r="E968" s="127"/>
      <c r="F968" s="1"/>
      <c r="G968" s="1"/>
      <c r="H968" s="1"/>
      <c r="I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5"/>
      <c r="D969" s="1"/>
      <c r="E969" s="127"/>
      <c r="F969" s="1"/>
      <c r="G969" s="1"/>
      <c r="H969" s="1"/>
      <c r="I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5"/>
      <c r="D970" s="1"/>
      <c r="E970" s="127"/>
      <c r="F970" s="1"/>
      <c r="G970" s="1"/>
      <c r="H970" s="1"/>
      <c r="I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5"/>
      <c r="D971" s="1"/>
      <c r="E971" s="127"/>
      <c r="F971" s="1"/>
      <c r="G971" s="1"/>
      <c r="H971" s="1"/>
      <c r="I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5"/>
      <c r="D972" s="1"/>
      <c r="E972" s="127"/>
      <c r="F972" s="1"/>
      <c r="G972" s="1"/>
      <c r="H972" s="1"/>
      <c r="I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5"/>
      <c r="D973" s="1"/>
      <c r="E973" s="127"/>
      <c r="F973" s="1"/>
      <c r="G973" s="1"/>
      <c r="H973" s="1"/>
      <c r="I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5"/>
      <c r="D974" s="1"/>
      <c r="E974" s="127"/>
      <c r="F974" s="1"/>
      <c r="G974" s="1"/>
      <c r="H974" s="1"/>
      <c r="I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5"/>
      <c r="D975" s="1"/>
      <c r="E975" s="127"/>
      <c r="F975" s="1"/>
      <c r="G975" s="1"/>
      <c r="H975" s="1"/>
      <c r="I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5"/>
      <c r="D976" s="1"/>
      <c r="E976" s="127"/>
      <c r="F976" s="1"/>
      <c r="G976" s="1"/>
      <c r="H976" s="1"/>
      <c r="I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5"/>
      <c r="D977" s="1"/>
      <c r="E977" s="127"/>
      <c r="F977" s="1"/>
      <c r="G977" s="1"/>
      <c r="H977" s="1"/>
      <c r="I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5"/>
      <c r="D978" s="1"/>
      <c r="E978" s="127"/>
      <c r="F978" s="1"/>
      <c r="G978" s="1"/>
      <c r="H978" s="1"/>
      <c r="I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5"/>
      <c r="D979" s="1"/>
      <c r="E979" s="127"/>
      <c r="F979" s="1"/>
      <c r="G979" s="1"/>
      <c r="H979" s="1"/>
      <c r="I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5"/>
      <c r="D980" s="1"/>
      <c r="E980" s="127"/>
      <c r="F980" s="1"/>
      <c r="G980" s="1"/>
      <c r="H980" s="1"/>
      <c r="I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5"/>
      <c r="D981" s="1"/>
      <c r="E981" s="127"/>
      <c r="F981" s="1"/>
      <c r="G981" s="1"/>
      <c r="H981" s="1"/>
      <c r="I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5"/>
      <c r="D982" s="1"/>
      <c r="E982" s="127"/>
      <c r="F982" s="1"/>
      <c r="G982" s="1"/>
      <c r="H982" s="1"/>
      <c r="I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5"/>
      <c r="D983" s="1"/>
      <c r="E983" s="127"/>
      <c r="F983" s="1"/>
      <c r="G983" s="1"/>
      <c r="H983" s="1"/>
      <c r="I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5"/>
      <c r="D984" s="1"/>
      <c r="E984" s="127"/>
      <c r="F984" s="1"/>
      <c r="G984" s="1"/>
      <c r="H984" s="1"/>
      <c r="I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5"/>
      <c r="D985" s="1"/>
      <c r="E985" s="127"/>
      <c r="F985" s="1"/>
      <c r="G985" s="1"/>
      <c r="H985" s="1"/>
      <c r="I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5"/>
      <c r="D986" s="1"/>
      <c r="E986" s="127"/>
      <c r="F986" s="1"/>
      <c r="G986" s="1"/>
      <c r="H986" s="1"/>
      <c r="I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5"/>
      <c r="D987" s="1"/>
      <c r="E987" s="127"/>
      <c r="F987" s="1"/>
      <c r="G987" s="1"/>
      <c r="H987" s="1"/>
      <c r="I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5"/>
      <c r="D988" s="1"/>
      <c r="E988" s="127"/>
      <c r="F988" s="1"/>
      <c r="G988" s="1"/>
      <c r="H988" s="1"/>
      <c r="I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5"/>
      <c r="D989" s="1"/>
      <c r="E989" s="127"/>
      <c r="F989" s="1"/>
      <c r="G989" s="1"/>
      <c r="H989" s="1"/>
      <c r="I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5"/>
      <c r="D990" s="1"/>
      <c r="E990" s="127"/>
      <c r="F990" s="1"/>
      <c r="G990" s="1"/>
      <c r="H990" s="1"/>
      <c r="I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5"/>
      <c r="D991" s="1"/>
      <c r="E991" s="127"/>
      <c r="F991" s="1"/>
      <c r="G991" s="1"/>
      <c r="H991" s="1"/>
      <c r="I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5"/>
      <c r="D992" s="1"/>
      <c r="E992" s="127"/>
      <c r="F992" s="1"/>
      <c r="G992" s="1"/>
      <c r="H992" s="1"/>
      <c r="I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5"/>
      <c r="D993" s="1"/>
      <c r="E993" s="127"/>
      <c r="F993" s="1"/>
      <c r="G993" s="1"/>
      <c r="H993" s="1"/>
      <c r="I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5"/>
      <c r="D994" s="1"/>
      <c r="E994" s="127"/>
      <c r="F994" s="1"/>
      <c r="G994" s="1"/>
      <c r="H994" s="1"/>
      <c r="I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5"/>
      <c r="D995" s="1"/>
      <c r="E995" s="127"/>
      <c r="F995" s="1"/>
      <c r="G995" s="1"/>
      <c r="H995" s="1"/>
      <c r="I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5"/>
      <c r="D996" s="1"/>
      <c r="E996" s="127"/>
      <c r="F996" s="1"/>
      <c r="G996" s="1"/>
      <c r="H996" s="1"/>
      <c r="I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5"/>
      <c r="D997" s="1"/>
      <c r="E997" s="127"/>
      <c r="F997" s="1"/>
      <c r="G997" s="1"/>
      <c r="H997" s="1"/>
      <c r="I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5"/>
      <c r="D998" s="1"/>
      <c r="E998" s="127"/>
      <c r="F998" s="1"/>
      <c r="G998" s="1"/>
      <c r="H998" s="1"/>
      <c r="I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5"/>
      <c r="D999" s="1"/>
      <c r="E999" s="127"/>
      <c r="F999" s="1"/>
      <c r="G999" s="1"/>
      <c r="H999" s="1"/>
      <c r="I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5"/>
      <c r="D1000" s="1"/>
      <c r="E1000" s="127"/>
      <c r="F1000" s="1"/>
      <c r="G1000" s="1"/>
      <c r="H1000" s="1"/>
      <c r="I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A$1:$H$50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6.57"/>
    <col customWidth="1" min="2" max="2" width="10.43"/>
    <col customWidth="1" min="3" max="3" width="10.14"/>
    <col customWidth="1" min="4" max="4" width="12.71"/>
    <col customWidth="1" min="5" max="5" width="27.29"/>
    <col customWidth="1" min="6" max="6" width="29.29"/>
    <col customWidth="1" min="7" max="7" width="55.14"/>
    <col customWidth="1" min="8" max="8" width="13.14"/>
    <col customWidth="1" hidden="1" min="9" max="11" width="8.0"/>
    <col customWidth="1" min="12" max="26" width="8.0"/>
  </cols>
  <sheetData>
    <row r="1" ht="12.75" customHeight="1">
      <c r="A1" s="7" t="s">
        <v>0</v>
      </c>
      <c r="B1" s="8" t="s">
        <v>1</v>
      </c>
      <c r="C1" s="8" t="s">
        <v>4</v>
      </c>
      <c r="D1" s="7" t="s">
        <v>2</v>
      </c>
      <c r="E1" s="138" t="s">
        <v>3</v>
      </c>
      <c r="F1" s="11" t="s">
        <v>5</v>
      </c>
      <c r="G1" s="7" t="s">
        <v>6</v>
      </c>
    </row>
    <row r="2" ht="12.75" customHeight="1">
      <c r="A2" s="52" t="s">
        <v>171</v>
      </c>
      <c r="B2" s="53">
        <v>43046.0</v>
      </c>
      <c r="C2" s="52">
        <v>3036.0</v>
      </c>
      <c r="D2" s="52" t="s">
        <v>514</v>
      </c>
      <c r="E2" s="55">
        <v>3871.8</v>
      </c>
      <c r="F2" s="56">
        <v>43410.0</v>
      </c>
      <c r="G2" s="52" t="s">
        <v>515</v>
      </c>
      <c r="H2" s="113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2.75" customHeight="1">
      <c r="A3" s="52" t="s">
        <v>171</v>
      </c>
      <c r="B3" s="53">
        <v>43046.0</v>
      </c>
      <c r="C3" s="52">
        <v>3036.0</v>
      </c>
      <c r="D3" s="52" t="s">
        <v>516</v>
      </c>
      <c r="E3" s="55">
        <v>8635.4</v>
      </c>
      <c r="F3" s="56">
        <v>43410.0</v>
      </c>
      <c r="G3" s="52" t="s">
        <v>517</v>
      </c>
      <c r="H3" s="113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12.75" customHeight="1">
      <c r="A4" s="29" t="s">
        <v>518</v>
      </c>
      <c r="B4" s="31">
        <v>42864.0</v>
      </c>
      <c r="C4" s="29">
        <v>3917.0</v>
      </c>
      <c r="D4" s="29" t="s">
        <v>519</v>
      </c>
      <c r="E4" s="33">
        <v>7879.98</v>
      </c>
      <c r="F4" s="34">
        <v>43199.0</v>
      </c>
      <c r="G4" s="29" t="s">
        <v>520</v>
      </c>
      <c r="H4" s="10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29"/>
      <c r="B5" s="119">
        <v>42893.0</v>
      </c>
      <c r="C5" s="119">
        <v>42908.0</v>
      </c>
      <c r="D5" s="120">
        <v>4081.0</v>
      </c>
      <c r="E5" s="33">
        <f t="shared" ref="E5:E10" si="1">E4-1313.33</f>
        <v>6566.65</v>
      </c>
      <c r="F5" s="34"/>
      <c r="G5" s="29"/>
      <c r="H5" s="10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29"/>
      <c r="B6" s="119">
        <v>42887.0</v>
      </c>
      <c r="C6" s="119">
        <v>42908.0</v>
      </c>
      <c r="D6" s="120">
        <v>4041.0</v>
      </c>
      <c r="E6" s="33">
        <f t="shared" si="1"/>
        <v>5253.32</v>
      </c>
      <c r="F6" s="34"/>
      <c r="G6" s="29"/>
      <c r="H6" s="104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29"/>
      <c r="B7" s="119">
        <v>42919.0</v>
      </c>
      <c r="C7" s="119">
        <v>42927.0</v>
      </c>
      <c r="D7" s="120">
        <v>4112.0</v>
      </c>
      <c r="E7" s="33">
        <f t="shared" si="1"/>
        <v>3939.99</v>
      </c>
      <c r="F7" s="34"/>
      <c r="G7" s="29"/>
      <c r="H7" s="104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29"/>
      <c r="B8" s="119">
        <v>42949.0</v>
      </c>
      <c r="C8" s="119">
        <v>42956.0</v>
      </c>
      <c r="D8" s="120">
        <v>4158.0</v>
      </c>
      <c r="E8" s="33">
        <f t="shared" si="1"/>
        <v>2626.66</v>
      </c>
      <c r="F8" s="34"/>
      <c r="G8" s="29"/>
      <c r="H8" s="104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9"/>
      <c r="B9" s="119">
        <v>42979.0</v>
      </c>
      <c r="C9" s="119">
        <v>42992.0</v>
      </c>
      <c r="D9" s="120">
        <v>4212.0</v>
      </c>
      <c r="E9" s="33">
        <f t="shared" si="1"/>
        <v>1313.33</v>
      </c>
      <c r="F9" s="34"/>
      <c r="G9" s="29"/>
      <c r="H9" s="104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9"/>
      <c r="B10" s="119">
        <v>43010.0</v>
      </c>
      <c r="C10" s="119">
        <v>43014.0</v>
      </c>
      <c r="D10" s="120">
        <v>4252.0</v>
      </c>
      <c r="E10" s="33">
        <f t="shared" si="1"/>
        <v>0</v>
      </c>
      <c r="F10" s="34"/>
      <c r="G10" s="29"/>
      <c r="H10" s="104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52" t="s">
        <v>518</v>
      </c>
      <c r="B11" s="53">
        <v>42885.0</v>
      </c>
      <c r="C11" s="52">
        <v>3917.0</v>
      </c>
      <c r="D11" s="52" t="s">
        <v>521</v>
      </c>
      <c r="E11" s="55">
        <v>7879.98</v>
      </c>
      <c r="F11" s="56">
        <v>43199.0</v>
      </c>
      <c r="G11" s="52" t="s">
        <v>522</v>
      </c>
      <c r="H11" s="113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2.75" customHeight="1">
      <c r="A12" s="121"/>
      <c r="B12" s="139">
        <v>43040.0</v>
      </c>
      <c r="C12" s="140">
        <v>43061.0</v>
      </c>
      <c r="D12" s="121">
        <v>4296.0</v>
      </c>
      <c r="E12" s="59">
        <f>E11-1313.33</f>
        <v>6566.65</v>
      </c>
      <c r="F12" s="124"/>
      <c r="G12" s="121"/>
      <c r="H12" s="113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ht="12.75" customHeight="1">
      <c r="A13" s="52" t="s">
        <v>268</v>
      </c>
      <c r="B13" s="53">
        <v>42826.0</v>
      </c>
      <c r="C13" s="52">
        <v>3916.0</v>
      </c>
      <c r="D13" s="52" t="s">
        <v>523</v>
      </c>
      <c r="E13" s="55">
        <v>14800.0</v>
      </c>
      <c r="F13" s="56">
        <v>43188.0</v>
      </c>
      <c r="G13" s="52" t="s">
        <v>524</v>
      </c>
      <c r="H13" s="113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ht="12.75" customHeight="1">
      <c r="A14" s="52" t="s">
        <v>525</v>
      </c>
      <c r="B14" s="53">
        <v>42885.0</v>
      </c>
      <c r="C14" s="52">
        <v>3390.0</v>
      </c>
      <c r="D14" s="52" t="s">
        <v>526</v>
      </c>
      <c r="E14" s="55">
        <v>14340.0</v>
      </c>
      <c r="F14" s="56">
        <v>43249.0</v>
      </c>
      <c r="G14" s="52" t="s">
        <v>527</v>
      </c>
      <c r="H14" s="113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1.25" customHeight="1">
      <c r="A15" s="141"/>
      <c r="B15" s="142">
        <v>43003.0</v>
      </c>
      <c r="C15" s="143">
        <v>43014.0</v>
      </c>
      <c r="D15" s="141">
        <v>51898.0</v>
      </c>
      <c r="E15" s="144">
        <f>E14-296</f>
        <v>14044</v>
      </c>
      <c r="F15" s="145"/>
      <c r="G15" s="141"/>
      <c r="H15" s="146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ht="11.25" customHeight="1">
      <c r="A16" s="141"/>
      <c r="B16" s="142">
        <v>43045.0</v>
      </c>
      <c r="C16" s="143">
        <v>43046.0</v>
      </c>
      <c r="D16" s="141">
        <v>53263.0</v>
      </c>
      <c r="E16" s="144">
        <f>E15-147.5</f>
        <v>13896.5</v>
      </c>
      <c r="F16" s="145"/>
      <c r="G16" s="141"/>
      <c r="H16" s="146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ht="11.25" customHeight="1">
      <c r="A17" s="141"/>
      <c r="B17" s="142">
        <v>43067.0</v>
      </c>
      <c r="C17" s="143">
        <v>43067.0</v>
      </c>
      <c r="D17" s="141">
        <v>53867.0</v>
      </c>
      <c r="E17" s="144">
        <f>E16-118</f>
        <v>13778.5</v>
      </c>
      <c r="F17" s="145"/>
      <c r="G17" s="141"/>
      <c r="H17" s="146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ht="12.75" customHeight="1">
      <c r="A18" s="29" t="s">
        <v>528</v>
      </c>
      <c r="B18" s="31">
        <v>42828.0</v>
      </c>
      <c r="C18" s="29">
        <v>3028.0</v>
      </c>
      <c r="D18" s="29" t="s">
        <v>529</v>
      </c>
      <c r="E18" s="33">
        <v>100.8</v>
      </c>
      <c r="F18" s="34">
        <v>43112.0</v>
      </c>
      <c r="G18" s="29" t="s">
        <v>530</v>
      </c>
      <c r="H18" s="104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9"/>
      <c r="B19" s="31">
        <v>42920.0</v>
      </c>
      <c r="C19" s="148">
        <v>42996.0</v>
      </c>
      <c r="D19" s="29">
        <v>1945.0</v>
      </c>
      <c r="E19" s="33">
        <f>E18-75.6</f>
        <v>25.2</v>
      </c>
      <c r="F19" s="34"/>
      <c r="G19" s="29"/>
      <c r="H19" s="10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9"/>
      <c r="B20" s="31">
        <v>42920.0</v>
      </c>
      <c r="C20" s="148">
        <v>42996.0</v>
      </c>
      <c r="D20" s="29">
        <v>1946.0</v>
      </c>
      <c r="E20" s="33">
        <f>E19-25.2</f>
        <v>0</v>
      </c>
      <c r="F20" s="34"/>
      <c r="G20" s="29"/>
      <c r="H20" s="10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9" t="s">
        <v>533</v>
      </c>
      <c r="B21" s="31">
        <v>42921.0</v>
      </c>
      <c r="C21" s="32">
        <v>3036.0</v>
      </c>
      <c r="D21" s="29" t="s">
        <v>534</v>
      </c>
      <c r="E21" s="33">
        <v>4054.22</v>
      </c>
      <c r="F21" s="34"/>
      <c r="G21" s="29" t="s">
        <v>535</v>
      </c>
      <c r="H21" s="10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9"/>
      <c r="B22" s="119">
        <v>43007.0</v>
      </c>
      <c r="C22" s="119">
        <v>43014.0</v>
      </c>
      <c r="D22" s="120">
        <v>172218.0</v>
      </c>
      <c r="E22" s="33">
        <f>E21-4054.22</f>
        <v>0</v>
      </c>
      <c r="F22" s="34"/>
      <c r="G22" s="29"/>
      <c r="H22" s="10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52" t="s">
        <v>536</v>
      </c>
      <c r="B23" s="149">
        <v>42921.0</v>
      </c>
      <c r="C23" s="150">
        <v>3007.0</v>
      </c>
      <c r="D23" s="150" t="s">
        <v>539</v>
      </c>
      <c r="E23" s="55">
        <v>50000.0</v>
      </c>
      <c r="F23" s="56">
        <v>43285.0</v>
      </c>
      <c r="G23" s="52" t="s">
        <v>540</v>
      </c>
      <c r="H23" s="8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2.75" customHeight="1">
      <c r="A24" s="50"/>
      <c r="B24" s="122">
        <v>42991.0</v>
      </c>
      <c r="C24" s="122">
        <v>43004.0</v>
      </c>
      <c r="D24" s="123">
        <v>2826.0</v>
      </c>
      <c r="E24" s="59">
        <f>E23-6550</f>
        <v>43450</v>
      </c>
      <c r="F24" s="60"/>
      <c r="G24" s="50"/>
      <c r="H24" s="113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2.75" customHeight="1">
      <c r="A25" s="50"/>
      <c r="B25" s="122">
        <v>43017.0</v>
      </c>
      <c r="C25" s="122">
        <v>43046.0</v>
      </c>
      <c r="D25" s="123">
        <v>2967.0</v>
      </c>
      <c r="E25" s="59">
        <f>E24-5346</f>
        <v>38104</v>
      </c>
      <c r="F25" s="60"/>
      <c r="G25" s="50"/>
      <c r="H25" s="113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2.75" customHeight="1">
      <c r="A26" s="50"/>
      <c r="B26" s="122">
        <v>43060.0</v>
      </c>
      <c r="C26" s="122">
        <v>43062.0</v>
      </c>
      <c r="D26" s="123">
        <v>3203.0</v>
      </c>
      <c r="E26" s="59">
        <f>E25-3155.54</f>
        <v>34948.46</v>
      </c>
      <c r="F26" s="60"/>
      <c r="G26" s="50"/>
      <c r="H26" s="113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2.75" customHeight="1">
      <c r="A27" s="50"/>
      <c r="B27" s="122">
        <v>43045.0</v>
      </c>
      <c r="C27" s="122">
        <v>43062.0</v>
      </c>
      <c r="D27" s="123">
        <v>3102.0</v>
      </c>
      <c r="E27" s="59">
        <f>E26-8009.93</f>
        <v>26938.53</v>
      </c>
      <c r="F27" s="60"/>
      <c r="G27" s="50"/>
      <c r="H27" s="113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2.75" customHeight="1">
      <c r="A28" s="52" t="s">
        <v>536</v>
      </c>
      <c r="B28" s="149">
        <v>43066.0</v>
      </c>
      <c r="C28" s="150">
        <v>3007.0</v>
      </c>
      <c r="D28" s="150" t="s">
        <v>576</v>
      </c>
      <c r="E28" s="55">
        <v>51391.5</v>
      </c>
      <c r="F28" s="56">
        <v>43285.0</v>
      </c>
      <c r="G28" s="52" t="s">
        <v>540</v>
      </c>
      <c r="H28" s="8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2.75" customHeight="1">
      <c r="A29" s="52" t="s">
        <v>536</v>
      </c>
      <c r="B29" s="53">
        <v>43011.0</v>
      </c>
      <c r="C29" s="52">
        <v>3007.0</v>
      </c>
      <c r="D29" s="52" t="s">
        <v>577</v>
      </c>
      <c r="E29" s="55">
        <v>23200.0</v>
      </c>
      <c r="F29" s="56">
        <v>43341.0</v>
      </c>
      <c r="G29" s="52" t="s">
        <v>578</v>
      </c>
      <c r="H29" s="113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2.75" customHeight="1">
      <c r="A30" s="52" t="s">
        <v>536</v>
      </c>
      <c r="B30" s="53">
        <v>42979.0</v>
      </c>
      <c r="C30" s="52">
        <v>3007.0</v>
      </c>
      <c r="D30" s="52" t="s">
        <v>579</v>
      </c>
      <c r="E30" s="55">
        <v>20000.0</v>
      </c>
      <c r="F30" s="56">
        <v>43341.0</v>
      </c>
      <c r="G30" s="52" t="s">
        <v>580</v>
      </c>
      <c r="H30" s="113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2.75" customHeight="1">
      <c r="A31" s="50"/>
      <c r="B31" s="122">
        <v>43014.0</v>
      </c>
      <c r="C31" s="122">
        <v>43045.0</v>
      </c>
      <c r="D31" s="123">
        <v>2963.0</v>
      </c>
      <c r="E31" s="59">
        <f>E30-4998</f>
        <v>15002</v>
      </c>
      <c r="F31" s="60"/>
      <c r="G31" s="50"/>
      <c r="H31" s="113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2.75" customHeight="1">
      <c r="A32" s="50"/>
      <c r="B32" s="122">
        <v>43033.0</v>
      </c>
      <c r="C32" s="122">
        <v>43046.0</v>
      </c>
      <c r="D32" s="123">
        <v>3054.0</v>
      </c>
      <c r="E32" s="59">
        <f>E31-2040</f>
        <v>12962</v>
      </c>
      <c r="F32" s="60"/>
      <c r="G32" s="50"/>
      <c r="H32" s="113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2.75" customHeight="1">
      <c r="A33" s="50"/>
      <c r="B33" s="122">
        <v>43056.0</v>
      </c>
      <c r="C33" s="122">
        <v>43062.0</v>
      </c>
      <c r="D33" s="123">
        <v>3168.0</v>
      </c>
      <c r="E33" s="59">
        <f>E32-1918.7</f>
        <v>11043.3</v>
      </c>
      <c r="F33" s="60"/>
      <c r="G33" s="50"/>
      <c r="H33" s="113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2.75" customHeight="1">
      <c r="A34" s="50"/>
      <c r="B34" s="122">
        <v>43061.0</v>
      </c>
      <c r="C34" s="122">
        <v>43062.0</v>
      </c>
      <c r="D34" s="123">
        <v>3204.0</v>
      </c>
      <c r="E34" s="59">
        <f>E33-495.95</f>
        <v>10547.35</v>
      </c>
      <c r="F34" s="60"/>
      <c r="G34" s="50"/>
      <c r="H34" s="113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2.75" customHeight="1">
      <c r="A35" s="52" t="s">
        <v>536</v>
      </c>
      <c r="B35" s="53">
        <v>43040.0</v>
      </c>
      <c r="C35" s="52">
        <v>3007.0</v>
      </c>
      <c r="D35" s="52" t="s">
        <v>581</v>
      </c>
      <c r="E35" s="55">
        <v>2481.0</v>
      </c>
      <c r="F35" s="56">
        <v>43388.0</v>
      </c>
      <c r="G35" s="52" t="s">
        <v>582</v>
      </c>
      <c r="H35" s="113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2.75" customHeight="1">
      <c r="A36" s="52" t="s">
        <v>584</v>
      </c>
      <c r="B36" s="53">
        <v>43009.0</v>
      </c>
      <c r="C36" s="52">
        <v>3036.0</v>
      </c>
      <c r="D36" s="52" t="s">
        <v>585</v>
      </c>
      <c r="E36" s="55">
        <v>2953.8</v>
      </c>
      <c r="F36" s="56">
        <v>43371.0</v>
      </c>
      <c r="G36" s="52" t="s">
        <v>587</v>
      </c>
      <c r="H36" s="113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2.75" customHeight="1">
      <c r="A37" s="29" t="s">
        <v>588</v>
      </c>
      <c r="B37" s="31">
        <v>42908.0</v>
      </c>
      <c r="C37" s="29">
        <v>3016.0</v>
      </c>
      <c r="D37" s="29" t="s">
        <v>589</v>
      </c>
      <c r="E37" s="33">
        <v>697.0</v>
      </c>
      <c r="F37" s="34"/>
      <c r="G37" s="29" t="s">
        <v>590</v>
      </c>
      <c r="H37" s="104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2.75" customHeight="1">
      <c r="A38" s="29"/>
      <c r="B38" s="31">
        <v>42945.0</v>
      </c>
      <c r="C38" s="148">
        <v>42978.0</v>
      </c>
      <c r="D38" s="29">
        <v>13449.0</v>
      </c>
      <c r="E38" s="33">
        <f>E37-697</f>
        <v>0</v>
      </c>
      <c r="F38" s="34"/>
      <c r="G38" s="29"/>
      <c r="H38" s="104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2.75" customHeight="1">
      <c r="A39" s="52" t="s">
        <v>591</v>
      </c>
      <c r="B39" s="149">
        <v>43010.0</v>
      </c>
      <c r="C39" s="52">
        <v>3007.0</v>
      </c>
      <c r="D39" s="150" t="s">
        <v>592</v>
      </c>
      <c r="E39" s="55">
        <v>2850.0</v>
      </c>
      <c r="F39" s="56">
        <v>43341.0</v>
      </c>
      <c r="G39" s="52" t="s">
        <v>593</v>
      </c>
      <c r="H39" s="8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2.75" customHeight="1">
      <c r="A40" s="52" t="s">
        <v>591</v>
      </c>
      <c r="B40" s="149">
        <v>43040.0</v>
      </c>
      <c r="C40" s="52">
        <v>3007.0</v>
      </c>
      <c r="D40" s="150" t="s">
        <v>594</v>
      </c>
      <c r="E40" s="55">
        <v>240.0</v>
      </c>
      <c r="F40" s="56">
        <v>43377.0</v>
      </c>
      <c r="G40" s="52" t="s">
        <v>595</v>
      </c>
      <c r="H40" s="8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2.75" customHeight="1">
      <c r="A41" s="29" t="s">
        <v>596</v>
      </c>
      <c r="B41" s="31">
        <v>42968.0</v>
      </c>
      <c r="C41" s="32">
        <v>3036.0</v>
      </c>
      <c r="D41" s="29" t="s">
        <v>597</v>
      </c>
      <c r="E41" s="33">
        <v>3564.0</v>
      </c>
      <c r="F41" s="34">
        <v>43312.0</v>
      </c>
      <c r="G41" s="29" t="s">
        <v>598</v>
      </c>
      <c r="H41" s="104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2.75" customHeight="1">
      <c r="A42" s="29"/>
      <c r="B42" s="31">
        <v>43045.0</v>
      </c>
      <c r="C42" s="109">
        <v>43061.0</v>
      </c>
      <c r="D42" s="29">
        <v>6366.0</v>
      </c>
      <c r="E42" s="33">
        <f>E41-3564</f>
        <v>0</v>
      </c>
      <c r="F42" s="34"/>
      <c r="G42" s="29"/>
      <c r="H42" s="104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2.75" customHeight="1">
      <c r="A43" s="52" t="s">
        <v>596</v>
      </c>
      <c r="B43" s="53">
        <v>42976.0</v>
      </c>
      <c r="C43" s="54">
        <v>3036.0</v>
      </c>
      <c r="D43" s="52" t="s">
        <v>599</v>
      </c>
      <c r="E43" s="55">
        <v>33570.0</v>
      </c>
      <c r="F43" s="56">
        <v>43301.0</v>
      </c>
      <c r="G43" s="52" t="s">
        <v>600</v>
      </c>
      <c r="H43" s="85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2.75" customHeight="1">
      <c r="A44" s="52" t="s">
        <v>596</v>
      </c>
      <c r="B44" s="53">
        <v>43009.0</v>
      </c>
      <c r="C44" s="52">
        <v>3036.0</v>
      </c>
      <c r="D44" s="52" t="s">
        <v>603</v>
      </c>
      <c r="E44" s="55">
        <v>6999.72</v>
      </c>
      <c r="F44" s="56">
        <v>43371.0</v>
      </c>
      <c r="G44" s="52" t="s">
        <v>605</v>
      </c>
      <c r="H44" s="113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2.75" customHeight="1">
      <c r="A45" s="121"/>
      <c r="B45" s="139">
        <v>43059.0</v>
      </c>
      <c r="C45" s="140">
        <v>43062.0</v>
      </c>
      <c r="D45" s="121">
        <v>6410.0</v>
      </c>
      <c r="E45" s="155">
        <f>E44-1009.8</f>
        <v>5989.92</v>
      </c>
      <c r="F45" s="124"/>
      <c r="G45" s="121"/>
      <c r="H45" s="113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2.75" customHeight="1">
      <c r="A46" s="29" t="s">
        <v>606</v>
      </c>
      <c r="B46" s="31">
        <v>42874.0</v>
      </c>
      <c r="C46" s="29">
        <v>3039.0</v>
      </c>
      <c r="D46" s="29" t="s">
        <v>607</v>
      </c>
      <c r="E46" s="33">
        <v>11516.22</v>
      </c>
      <c r="F46" s="34"/>
      <c r="G46" s="29" t="s">
        <v>608</v>
      </c>
      <c r="H46" s="113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2.75" customHeight="1">
      <c r="A47" s="29"/>
      <c r="B47" s="41">
        <v>42894.0</v>
      </c>
      <c r="C47" s="41">
        <v>42899.0</v>
      </c>
      <c r="D47" s="42">
        <v>11142.0</v>
      </c>
      <c r="E47" s="33">
        <f>E46-11516.22</f>
        <v>0</v>
      </c>
      <c r="F47" s="34"/>
      <c r="G47" s="29"/>
      <c r="H47" s="1"/>
      <c r="I47" s="38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9" t="s">
        <v>7</v>
      </c>
      <c r="B48" s="31">
        <v>42828.0</v>
      </c>
      <c r="C48" s="29">
        <v>3950.0</v>
      </c>
      <c r="D48" s="29" t="s">
        <v>609</v>
      </c>
      <c r="E48" s="33">
        <v>106765.0</v>
      </c>
      <c r="F48" s="34"/>
      <c r="G48" s="29" t="s">
        <v>610</v>
      </c>
      <c r="H48" s="19" t="s">
        <v>13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2.75" customHeight="1">
      <c r="A49" s="29"/>
      <c r="B49" s="41">
        <v>42789.0</v>
      </c>
      <c r="C49" s="32"/>
      <c r="D49" s="42">
        <v>2917.0</v>
      </c>
      <c r="E49" s="33">
        <f>E48-26361.46</f>
        <v>80403.54</v>
      </c>
      <c r="F49" s="34"/>
      <c r="G49" s="29"/>
      <c r="H49" s="1"/>
      <c r="I49" s="38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29"/>
      <c r="B50" s="41">
        <v>42809.0</v>
      </c>
      <c r="C50" s="32"/>
      <c r="D50" s="42">
        <v>2949.0</v>
      </c>
      <c r="E50" s="33">
        <f>E49-61965.97</f>
        <v>18437.57</v>
      </c>
      <c r="F50" s="34"/>
      <c r="G50" s="29"/>
      <c r="H50" s="1"/>
      <c r="I50" s="38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29"/>
      <c r="B51" s="41">
        <v>42852.0</v>
      </c>
      <c r="C51" s="32"/>
      <c r="D51" s="42">
        <v>3026.0</v>
      </c>
      <c r="E51" s="33">
        <f>E50-18437.57</f>
        <v>0</v>
      </c>
      <c r="F51" s="34"/>
      <c r="G51" s="29"/>
      <c r="H51" s="1"/>
      <c r="I51" s="38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29" t="s">
        <v>7</v>
      </c>
      <c r="B52" s="31">
        <v>42867.0</v>
      </c>
      <c r="C52" s="29">
        <v>3950.0</v>
      </c>
      <c r="D52" s="29" t="s">
        <v>611</v>
      </c>
      <c r="E52" s="33">
        <v>208000.0</v>
      </c>
      <c r="F52" s="34"/>
      <c r="G52" s="29" t="s">
        <v>612</v>
      </c>
      <c r="H52" s="12" t="s">
        <v>13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2.75" customHeight="1">
      <c r="A53" s="29"/>
      <c r="B53" s="41">
        <v>42852.0</v>
      </c>
      <c r="C53" s="32"/>
      <c r="D53" s="42">
        <v>3026.0</v>
      </c>
      <c r="E53" s="33">
        <f>E52-63876.07</f>
        <v>144123.93</v>
      </c>
      <c r="F53" s="34"/>
      <c r="G53" s="29"/>
      <c r="H53" s="12"/>
      <c r="I53" s="10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2.75" customHeight="1">
      <c r="A54" s="29"/>
      <c r="B54" s="41">
        <v>42866.0</v>
      </c>
      <c r="C54" s="41">
        <v>42887.0</v>
      </c>
      <c r="D54" s="42">
        <v>3053.0</v>
      </c>
      <c r="E54" s="33">
        <f>E53-23073.78</f>
        <v>121050.15</v>
      </c>
      <c r="F54" s="34"/>
      <c r="G54" s="29"/>
      <c r="H54" s="12"/>
      <c r="I54" s="10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2.75" customHeight="1">
      <c r="A55" s="29"/>
      <c r="B55" s="41">
        <v>42912.0</v>
      </c>
      <c r="C55" s="41">
        <v>42920.0</v>
      </c>
      <c r="D55" s="42">
        <v>3141.0</v>
      </c>
      <c r="E55" s="33">
        <v>133792.54</v>
      </c>
      <c r="F55" s="34"/>
      <c r="G55" s="29"/>
      <c r="H55" s="12"/>
      <c r="I55" s="104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2.75" customHeight="1">
      <c r="A56" s="29"/>
      <c r="B56" s="41">
        <v>42936.0</v>
      </c>
      <c r="C56" s="41">
        <v>42948.0</v>
      </c>
      <c r="D56" s="42">
        <v>3211.0</v>
      </c>
      <c r="E56" s="33">
        <f>E55-82327.66</f>
        <v>51464.88</v>
      </c>
      <c r="F56" s="34"/>
      <c r="G56" s="29"/>
      <c r="H56" s="12"/>
      <c r="I56" s="104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2.75" customHeight="1">
      <c r="A57" s="29"/>
      <c r="B57" s="41">
        <v>42961.0</v>
      </c>
      <c r="C57" s="41">
        <v>43003.0</v>
      </c>
      <c r="D57" s="42">
        <v>3256.0</v>
      </c>
      <c r="E57" s="33">
        <f>E56-E56</f>
        <v>0</v>
      </c>
      <c r="F57" s="34"/>
      <c r="G57" s="29"/>
      <c r="H57" s="12"/>
      <c r="I57" s="10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2.75" customHeight="1">
      <c r="A58" s="52" t="s">
        <v>7</v>
      </c>
      <c r="B58" s="53">
        <v>42947.0</v>
      </c>
      <c r="C58" s="54">
        <v>3950.0</v>
      </c>
      <c r="D58" s="54" t="s">
        <v>613</v>
      </c>
      <c r="E58" s="55">
        <v>105409.44</v>
      </c>
      <c r="F58" s="56"/>
      <c r="G58" s="52" t="s">
        <v>612</v>
      </c>
      <c r="H58" s="19" t="s">
        <v>13</v>
      </c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2.75" customHeight="1">
      <c r="A59" s="121"/>
      <c r="B59" s="139">
        <v>42961.0</v>
      </c>
      <c r="C59" s="156">
        <v>43003.0</v>
      </c>
      <c r="D59" s="157">
        <v>3256.0</v>
      </c>
      <c r="E59" s="155">
        <f>E58-35863.66</f>
        <v>69545.78</v>
      </c>
      <c r="F59" s="124"/>
      <c r="G59" s="121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2.75" customHeight="1">
      <c r="A60" s="121"/>
      <c r="B60" s="139">
        <v>43004.0</v>
      </c>
      <c r="C60" s="156">
        <v>43017.0</v>
      </c>
      <c r="D60" s="157">
        <v>3351.0</v>
      </c>
      <c r="E60" s="155">
        <f>E59-69545.78</f>
        <v>0</v>
      </c>
      <c r="F60" s="124"/>
      <c r="G60" s="121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2.75" customHeight="1">
      <c r="A61" s="121"/>
      <c r="B61" s="139">
        <v>43004.0</v>
      </c>
      <c r="C61" s="156">
        <v>43017.0</v>
      </c>
      <c r="D61" s="157">
        <v>3352.0</v>
      </c>
      <c r="E61" s="47">
        <f>E60-2007.17</f>
        <v>-2007.17</v>
      </c>
      <c r="F61" s="124"/>
      <c r="G61" s="121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2.75" customHeight="1">
      <c r="A62" s="121"/>
      <c r="B62" s="139">
        <v>43053.0</v>
      </c>
      <c r="C62" s="156">
        <v>43061.0</v>
      </c>
      <c r="D62" s="157">
        <v>3479.0</v>
      </c>
      <c r="E62" s="47">
        <f>E61-10637.76</f>
        <v>-12644.93</v>
      </c>
      <c r="F62" s="124"/>
      <c r="G62" s="121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2.75" customHeight="1">
      <c r="A63" s="121"/>
      <c r="B63" s="139">
        <v>43004.0</v>
      </c>
      <c r="C63" s="156">
        <v>43061.0</v>
      </c>
      <c r="D63" s="157">
        <v>3352.0</v>
      </c>
      <c r="E63" s="47">
        <f>E62-2007.17</f>
        <v>-14652.1</v>
      </c>
      <c r="F63" s="124"/>
      <c r="G63" s="121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2.75" customHeight="1">
      <c r="A64" s="121"/>
      <c r="B64" s="139">
        <v>43024.0</v>
      </c>
      <c r="C64" s="156">
        <v>43061.0</v>
      </c>
      <c r="D64" s="157">
        <v>3405.0</v>
      </c>
      <c r="E64" s="47">
        <f>E63-15740.42</f>
        <v>-30392.52</v>
      </c>
      <c r="F64" s="124"/>
      <c r="G64" s="121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2.75" customHeight="1">
      <c r="A65" s="52" t="s">
        <v>7</v>
      </c>
      <c r="B65" s="53">
        <v>43032.0</v>
      </c>
      <c r="C65" s="54">
        <v>3950.0</v>
      </c>
      <c r="D65" s="54" t="s">
        <v>614</v>
      </c>
      <c r="E65" s="55">
        <v>7500.0</v>
      </c>
      <c r="F65" s="56"/>
      <c r="G65" s="52" t="s">
        <v>615</v>
      </c>
      <c r="H65" s="19" t="s">
        <v>13</v>
      </c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2.75" customHeight="1">
      <c r="A66" s="121"/>
      <c r="B66" s="139">
        <v>43024.0</v>
      </c>
      <c r="C66" s="156">
        <v>43062.0</v>
      </c>
      <c r="D66" s="157">
        <v>3406.0</v>
      </c>
      <c r="E66" s="59">
        <f>E65-843.24</f>
        <v>6656.76</v>
      </c>
      <c r="F66" s="124"/>
      <c r="G66" s="121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2.75" customHeight="1">
      <c r="A67" s="121"/>
      <c r="B67" s="139">
        <v>43053.0</v>
      </c>
      <c r="C67" s="156">
        <v>43062.0</v>
      </c>
      <c r="D67" s="157">
        <v>3480.0</v>
      </c>
      <c r="E67" s="59">
        <f>E66-1690.5</f>
        <v>4966.26</v>
      </c>
      <c r="F67" s="124"/>
      <c r="G67" s="121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2.75" customHeight="1">
      <c r="A68" s="29" t="s">
        <v>349</v>
      </c>
      <c r="B68" s="31">
        <v>42867.0</v>
      </c>
      <c r="C68" s="29">
        <v>3036.0</v>
      </c>
      <c r="D68" s="29" t="s">
        <v>616</v>
      </c>
      <c r="E68" s="33">
        <v>4484.6</v>
      </c>
      <c r="F68" s="34"/>
      <c r="G68" s="29" t="s">
        <v>617</v>
      </c>
      <c r="H68" s="104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2.75" customHeight="1">
      <c r="A69" s="29"/>
      <c r="B69" s="31">
        <v>42993.0</v>
      </c>
      <c r="C69" s="148">
        <v>43005.0</v>
      </c>
      <c r="D69" s="29">
        <v>435148.0</v>
      </c>
      <c r="E69" s="33">
        <f>E68-1484.6</f>
        <v>3000</v>
      </c>
      <c r="F69" s="34"/>
      <c r="G69" s="29"/>
      <c r="H69" s="104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2.75" customHeight="1">
      <c r="A70" s="29"/>
      <c r="B70" s="31">
        <v>42997.0</v>
      </c>
      <c r="C70" s="148">
        <v>43005.0</v>
      </c>
      <c r="D70" s="29">
        <v>435655.0</v>
      </c>
      <c r="E70" s="33">
        <f>E69-3000</f>
        <v>0</v>
      </c>
      <c r="F70" s="34"/>
      <c r="G70" s="29"/>
      <c r="H70" s="104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2.75" customHeight="1">
      <c r="A71" s="52" t="s">
        <v>618</v>
      </c>
      <c r="B71" s="53">
        <v>42775.0</v>
      </c>
      <c r="C71" s="54">
        <v>3917.0</v>
      </c>
      <c r="D71" s="52" t="s">
        <v>619</v>
      </c>
      <c r="E71" s="55">
        <v>250000.0</v>
      </c>
      <c r="F71" s="56">
        <v>43139.0</v>
      </c>
      <c r="G71" s="52" t="s">
        <v>620</v>
      </c>
      <c r="H71" s="113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2.75" customHeight="1">
      <c r="A72" s="121"/>
      <c r="B72" s="142">
        <v>42836.0</v>
      </c>
      <c r="C72" s="141"/>
      <c r="D72" s="141">
        <v>2017.0</v>
      </c>
      <c r="E72" s="59">
        <f t="shared" ref="E72:E73" si="2">E71-23999.8</f>
        <v>226000.2</v>
      </c>
      <c r="F72" s="124"/>
      <c r="G72" s="121"/>
      <c r="H72" s="113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2.75" customHeight="1">
      <c r="A73" s="121"/>
      <c r="B73" s="142">
        <v>42863.0</v>
      </c>
      <c r="C73" s="145">
        <v>42886.0</v>
      </c>
      <c r="D73" s="141">
        <v>2017.0</v>
      </c>
      <c r="E73" s="59">
        <f t="shared" si="2"/>
        <v>202000.4</v>
      </c>
      <c r="F73" s="124"/>
      <c r="G73" s="121"/>
      <c r="H73" s="113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2.75" customHeight="1">
      <c r="A74" s="121"/>
      <c r="B74" s="142">
        <v>42871.0</v>
      </c>
      <c r="C74" s="145">
        <v>42947.0</v>
      </c>
      <c r="D74" s="141" t="s">
        <v>621</v>
      </c>
      <c r="E74" s="59">
        <f>E73-19199.84</f>
        <v>182800.56</v>
      </c>
      <c r="F74" s="124"/>
      <c r="G74" s="121"/>
      <c r="H74" s="113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2.75" customHeight="1">
      <c r="A75" s="121"/>
      <c r="B75" s="142">
        <v>42949.0</v>
      </c>
      <c r="C75" s="145">
        <v>42956.0</v>
      </c>
      <c r="D75" s="141" t="s">
        <v>622</v>
      </c>
      <c r="E75" s="59">
        <f>E74-8848.06</f>
        <v>173952.5</v>
      </c>
      <c r="F75" s="124"/>
      <c r="G75" s="121"/>
      <c r="H75" s="113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2.75" customHeight="1">
      <c r="A76" s="121"/>
      <c r="B76" s="142">
        <v>42979.0</v>
      </c>
      <c r="C76" s="145">
        <v>42991.0</v>
      </c>
      <c r="D76" s="141" t="s">
        <v>623</v>
      </c>
      <c r="E76" s="59">
        <f>E75-54977.27</f>
        <v>118975.23</v>
      </c>
      <c r="F76" s="124"/>
      <c r="G76" s="121"/>
      <c r="H76" s="113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2.75" customHeight="1">
      <c r="A77" s="121"/>
      <c r="B77" s="142">
        <v>43011.0</v>
      </c>
      <c r="C77" s="145">
        <v>43013.0</v>
      </c>
      <c r="D77" s="141" t="s">
        <v>624</v>
      </c>
      <c r="E77" s="59">
        <f>E76-18927</f>
        <v>100048.23</v>
      </c>
      <c r="F77" s="124"/>
      <c r="G77" s="121"/>
      <c r="H77" s="113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2.75" customHeight="1">
      <c r="A78" s="121"/>
      <c r="B78" s="142">
        <v>43040.0</v>
      </c>
      <c r="C78" s="145">
        <v>43046.0</v>
      </c>
      <c r="D78" s="141" t="s">
        <v>625</v>
      </c>
      <c r="E78" s="59">
        <f>E77-32931.47</f>
        <v>67116.76</v>
      </c>
      <c r="F78" s="124"/>
      <c r="G78" s="121"/>
      <c r="H78" s="113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2.75" customHeight="1">
      <c r="A79" s="29" t="s">
        <v>626</v>
      </c>
      <c r="B79" s="31">
        <v>42826.0</v>
      </c>
      <c r="C79" s="29">
        <v>3036.0</v>
      </c>
      <c r="D79" s="29" t="s">
        <v>627</v>
      </c>
      <c r="E79" s="33">
        <v>36040.0</v>
      </c>
      <c r="F79" s="34">
        <v>43189.0</v>
      </c>
      <c r="G79" s="29" t="s">
        <v>628</v>
      </c>
      <c r="H79" s="10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2.75" customHeight="1">
      <c r="A80" s="12"/>
      <c r="B80" s="31">
        <v>43024.0</v>
      </c>
      <c r="C80" s="148">
        <v>43046.0</v>
      </c>
      <c r="D80" s="29">
        <v>329.0</v>
      </c>
      <c r="E80" s="33">
        <f>E79-36040</f>
        <v>0</v>
      </c>
      <c r="F80" s="34"/>
      <c r="G80" s="29"/>
      <c r="H80" s="10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2.75" customHeight="1">
      <c r="A81" s="12" t="s">
        <v>629</v>
      </c>
      <c r="B81" s="31">
        <v>42828.0</v>
      </c>
      <c r="C81" s="29">
        <v>3036.0</v>
      </c>
      <c r="D81" s="29" t="s">
        <v>630</v>
      </c>
      <c r="E81" s="33">
        <v>1045.6</v>
      </c>
      <c r="F81" s="34">
        <v>43160.0</v>
      </c>
      <c r="G81" s="29" t="s">
        <v>631</v>
      </c>
      <c r="H81" s="10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2.75" customHeight="1">
      <c r="A82" s="12"/>
      <c r="B82" s="31">
        <v>43055.0</v>
      </c>
      <c r="C82" s="148">
        <v>43062.0</v>
      </c>
      <c r="D82" s="29">
        <v>8310.0</v>
      </c>
      <c r="E82" s="33">
        <f>E81-E81</f>
        <v>0</v>
      </c>
      <c r="F82" s="34"/>
      <c r="G82" s="29"/>
      <c r="H82" s="10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2.75" customHeight="1">
      <c r="A83" s="12" t="s">
        <v>629</v>
      </c>
      <c r="B83" s="31">
        <v>42866.0</v>
      </c>
      <c r="C83" s="32">
        <v>3036.0</v>
      </c>
      <c r="D83" s="29" t="s">
        <v>632</v>
      </c>
      <c r="E83" s="33">
        <v>4519.85</v>
      </c>
      <c r="F83" s="34">
        <v>43182.0</v>
      </c>
      <c r="G83" s="29" t="s">
        <v>633</v>
      </c>
      <c r="H83" s="158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2.75" customHeight="1">
      <c r="A84" s="29"/>
      <c r="B84" s="119">
        <v>43027.0</v>
      </c>
      <c r="C84" s="119">
        <v>43045.0</v>
      </c>
      <c r="D84" s="120">
        <v>7656.0</v>
      </c>
      <c r="E84" s="33">
        <f>E83-4519.85</f>
        <v>0</v>
      </c>
      <c r="F84" s="34"/>
      <c r="G84" s="29"/>
      <c r="H84" s="113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2.75" customHeight="1">
      <c r="A85" s="52" t="s">
        <v>57</v>
      </c>
      <c r="B85" s="53">
        <v>42751.0</v>
      </c>
      <c r="C85" s="54">
        <v>3978.0</v>
      </c>
      <c r="D85" s="52" t="s">
        <v>634</v>
      </c>
      <c r="E85" s="55">
        <v>69060.0</v>
      </c>
      <c r="F85" s="56">
        <v>42862.0</v>
      </c>
      <c r="G85" s="52" t="s">
        <v>380</v>
      </c>
      <c r="H85" s="1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2.75" customHeight="1">
      <c r="A86" s="50"/>
      <c r="B86" s="122">
        <v>42843.0</v>
      </c>
      <c r="C86" s="58"/>
      <c r="D86" s="123">
        <v>385561.0</v>
      </c>
      <c r="E86" s="59">
        <f>E85-1741.75</f>
        <v>67318.25</v>
      </c>
      <c r="F86" s="60"/>
      <c r="G86" s="50"/>
      <c r="H86" s="113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2.75" customHeight="1">
      <c r="A87" s="50"/>
      <c r="B87" s="122">
        <v>42873.0</v>
      </c>
      <c r="C87" s="122">
        <v>42874.0</v>
      </c>
      <c r="D87" s="123">
        <v>397231.0</v>
      </c>
      <c r="E87" s="59">
        <f>E86-7259.9</f>
        <v>60058.35</v>
      </c>
      <c r="F87" s="60"/>
      <c r="G87" s="50"/>
      <c r="H87" s="113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2.75" customHeight="1">
      <c r="A88" s="50"/>
      <c r="B88" s="122">
        <v>42912.0</v>
      </c>
      <c r="C88" s="122">
        <v>42913.0</v>
      </c>
      <c r="D88" s="123">
        <v>410271.0</v>
      </c>
      <c r="E88" s="59">
        <f>E87-8664.19</f>
        <v>51394.16</v>
      </c>
      <c r="F88" s="60"/>
      <c r="G88" s="50"/>
      <c r="H88" s="113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2.75" customHeight="1">
      <c r="A89" s="50"/>
      <c r="B89" s="122">
        <v>42975.0</v>
      </c>
      <c r="C89" s="122">
        <v>42979.0</v>
      </c>
      <c r="D89" s="123">
        <v>433661.0</v>
      </c>
      <c r="E89" s="59">
        <f>E88-9532.99</f>
        <v>41861.17</v>
      </c>
      <c r="F89" s="60"/>
      <c r="G89" s="50"/>
      <c r="H89" s="113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2.75" customHeight="1">
      <c r="A90" s="50"/>
      <c r="B90" s="122">
        <v>43004.0</v>
      </c>
      <c r="C90" s="122">
        <v>43007.0</v>
      </c>
      <c r="D90" s="123">
        <v>445631.0</v>
      </c>
      <c r="E90" s="59">
        <f>E89-9069.6</f>
        <v>32791.57</v>
      </c>
      <c r="F90" s="60"/>
      <c r="G90" s="50"/>
      <c r="H90" s="113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2.75" customHeight="1">
      <c r="A91" s="50"/>
      <c r="B91" s="122">
        <v>43019.0</v>
      </c>
      <c r="C91" s="122">
        <v>43033.0</v>
      </c>
      <c r="D91" s="123">
        <v>452531.0</v>
      </c>
      <c r="E91" s="59">
        <f>E90-8061.03</f>
        <v>24730.54</v>
      </c>
      <c r="F91" s="60"/>
      <c r="G91" s="50"/>
      <c r="H91" s="113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2.75" customHeight="1">
      <c r="A92" s="50"/>
      <c r="B92" s="122">
        <v>43052.0</v>
      </c>
      <c r="C92" s="122">
        <v>43062.0</v>
      </c>
      <c r="D92" s="123">
        <v>468791.0</v>
      </c>
      <c r="E92" s="59">
        <f>E91-8711.78</f>
        <v>16018.76</v>
      </c>
      <c r="F92" s="60"/>
      <c r="G92" s="50"/>
      <c r="H92" s="113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2.75" customHeight="1">
      <c r="A93" s="52" t="s">
        <v>57</v>
      </c>
      <c r="B93" s="53">
        <v>42863.0</v>
      </c>
      <c r="C93" s="54">
        <v>3978.0</v>
      </c>
      <c r="D93" s="52" t="s">
        <v>635</v>
      </c>
      <c r="E93" s="55">
        <v>37000.0</v>
      </c>
      <c r="F93" s="56">
        <v>43227.0</v>
      </c>
      <c r="G93" s="52" t="s">
        <v>636</v>
      </c>
      <c r="H93" s="1"/>
      <c r="I93" s="51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2.75" customHeight="1">
      <c r="A94" s="52" t="s">
        <v>57</v>
      </c>
      <c r="B94" s="53">
        <v>42885.0</v>
      </c>
      <c r="C94" s="54">
        <v>3978.0</v>
      </c>
      <c r="D94" s="52" t="s">
        <v>637</v>
      </c>
      <c r="E94" s="55">
        <v>61000.0</v>
      </c>
      <c r="F94" s="56">
        <v>43227.0</v>
      </c>
      <c r="G94" s="52" t="s">
        <v>638</v>
      </c>
      <c r="H94" s="1"/>
      <c r="I94" s="51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12.75" customHeight="1">
      <c r="A95" s="52" t="s">
        <v>57</v>
      </c>
      <c r="B95" s="53">
        <v>43047.0</v>
      </c>
      <c r="C95" s="54">
        <v>3978.0</v>
      </c>
      <c r="D95" s="52" t="s">
        <v>639</v>
      </c>
      <c r="E95" s="55">
        <v>47600.0</v>
      </c>
      <c r="F95" s="56">
        <v>43227.0</v>
      </c>
      <c r="G95" s="52" t="s">
        <v>638</v>
      </c>
      <c r="H95" s="1"/>
      <c r="I95" s="51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12.75" customHeight="1">
      <c r="A96" s="52"/>
      <c r="B96" s="53"/>
      <c r="C96" s="54"/>
      <c r="D96" s="52"/>
      <c r="E96" s="55"/>
      <c r="F96" s="56"/>
      <c r="G96" s="52"/>
      <c r="H96" s="1"/>
      <c r="I96" s="51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12.75" customHeight="1">
      <c r="A97" s="29" t="s">
        <v>640</v>
      </c>
      <c r="B97" s="31">
        <v>42867.0</v>
      </c>
      <c r="C97" s="29">
        <v>3036.0</v>
      </c>
      <c r="D97" s="29" t="s">
        <v>641</v>
      </c>
      <c r="E97" s="33">
        <v>4657.0</v>
      </c>
      <c r="F97" s="34"/>
      <c r="G97" s="29" t="s">
        <v>642</v>
      </c>
      <c r="H97" s="113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2.75" customHeight="1">
      <c r="A98" s="29"/>
      <c r="B98" s="119">
        <v>42887.0</v>
      </c>
      <c r="C98" s="119">
        <v>42894.0</v>
      </c>
      <c r="D98" s="120">
        <v>44635.0</v>
      </c>
      <c r="E98" s="33">
        <f>E97-4657</f>
        <v>0</v>
      </c>
      <c r="F98" s="34"/>
      <c r="G98" s="29"/>
      <c r="H98" s="113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2.75" customHeight="1">
      <c r="A99" s="52" t="s">
        <v>640</v>
      </c>
      <c r="B99" s="53">
        <v>43052.0</v>
      </c>
      <c r="C99" s="52">
        <v>3036.0</v>
      </c>
      <c r="D99" s="52" t="s">
        <v>643</v>
      </c>
      <c r="E99" s="55">
        <v>1164.0</v>
      </c>
      <c r="F99" s="56"/>
      <c r="G99" s="52" t="s">
        <v>642</v>
      </c>
      <c r="H99" s="85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2.75" customHeight="1">
      <c r="A100" s="159" t="s">
        <v>640</v>
      </c>
      <c r="B100" s="31">
        <v>43052.0</v>
      </c>
      <c r="C100" s="32">
        <v>3036.0</v>
      </c>
      <c r="D100" s="32" t="s">
        <v>630</v>
      </c>
      <c r="E100" s="33">
        <v>1045.6</v>
      </c>
      <c r="F100" s="34"/>
      <c r="G100" s="159" t="s">
        <v>646</v>
      </c>
      <c r="H100" s="14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ht="12.75" customHeight="1">
      <c r="A101" s="32"/>
      <c r="B101" s="31">
        <v>43055.0</v>
      </c>
      <c r="C101" s="109">
        <v>43062.0</v>
      </c>
      <c r="D101" s="32">
        <v>8310.0</v>
      </c>
      <c r="E101" s="33">
        <f>E100-1045.6</f>
        <v>0</v>
      </c>
      <c r="F101" s="34"/>
      <c r="G101" s="32"/>
      <c r="H101" s="14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ht="12.75" customHeight="1">
      <c r="A102" s="52" t="s">
        <v>401</v>
      </c>
      <c r="B102" s="53">
        <v>42850.0</v>
      </c>
      <c r="C102" s="52">
        <v>3978.0</v>
      </c>
      <c r="D102" s="52" t="s">
        <v>648</v>
      </c>
      <c r="E102" s="55">
        <v>3400.0</v>
      </c>
      <c r="F102" s="56">
        <v>43258.0</v>
      </c>
      <c r="G102" s="52" t="s">
        <v>649</v>
      </c>
      <c r="H102" s="113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2.75" customHeight="1">
      <c r="A103" s="52" t="s">
        <v>650</v>
      </c>
      <c r="B103" s="53">
        <v>43031.0</v>
      </c>
      <c r="C103" s="52">
        <v>3036.0</v>
      </c>
      <c r="D103" s="52" t="s">
        <v>652</v>
      </c>
      <c r="E103" s="55">
        <v>400.0</v>
      </c>
      <c r="F103" s="56">
        <v>43174.0</v>
      </c>
      <c r="G103" s="52" t="s">
        <v>654</v>
      </c>
      <c r="H103" s="113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2.75" customHeight="1">
      <c r="A104" s="29" t="s">
        <v>655</v>
      </c>
      <c r="B104" s="31">
        <v>42866.0</v>
      </c>
      <c r="C104" s="29">
        <v>3036.0</v>
      </c>
      <c r="D104" s="29" t="s">
        <v>656</v>
      </c>
      <c r="E104" s="33">
        <v>2376.0</v>
      </c>
      <c r="F104" s="34"/>
      <c r="G104" s="29" t="s">
        <v>654</v>
      </c>
      <c r="H104" s="113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2.75" customHeight="1">
      <c r="A105" s="29"/>
      <c r="B105" s="119">
        <v>42891.0</v>
      </c>
      <c r="C105" s="119">
        <v>42894.0</v>
      </c>
      <c r="D105" s="120">
        <v>17809.0</v>
      </c>
      <c r="E105" s="33">
        <f>E104-2376</f>
        <v>0</v>
      </c>
      <c r="F105" s="34"/>
      <c r="G105" s="29"/>
      <c r="H105" s="113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2.75" customHeight="1">
      <c r="A106" s="52" t="s">
        <v>655</v>
      </c>
      <c r="B106" s="53">
        <v>43031.0</v>
      </c>
      <c r="C106" s="52">
        <v>3036.0</v>
      </c>
      <c r="D106" s="52" t="s">
        <v>657</v>
      </c>
      <c r="E106" s="55">
        <v>3960.0</v>
      </c>
      <c r="F106" s="56">
        <v>43174.0</v>
      </c>
      <c r="G106" s="52" t="s">
        <v>654</v>
      </c>
      <c r="H106" s="113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2.75" customHeight="1">
      <c r="A107" s="52" t="s">
        <v>658</v>
      </c>
      <c r="B107" s="53">
        <v>42936.0</v>
      </c>
      <c r="C107" s="52">
        <v>3007.0</v>
      </c>
      <c r="D107" s="52" t="s">
        <v>659</v>
      </c>
      <c r="E107" s="55">
        <v>15000.0</v>
      </c>
      <c r="F107" s="56">
        <v>43291.0</v>
      </c>
      <c r="G107" s="52" t="s">
        <v>660</v>
      </c>
      <c r="H107" s="113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2.75" customHeight="1">
      <c r="A108" s="121"/>
      <c r="B108" s="139">
        <v>43039.0</v>
      </c>
      <c r="C108" s="140">
        <v>43046.0</v>
      </c>
      <c r="D108" s="121">
        <v>3841.0</v>
      </c>
      <c r="E108" s="59">
        <f>E107-2213.04</f>
        <v>12786.96</v>
      </c>
      <c r="F108" s="124"/>
      <c r="G108" s="121"/>
      <c r="H108" s="113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2.75" customHeight="1">
      <c r="A109" s="52" t="s">
        <v>658</v>
      </c>
      <c r="B109" s="53">
        <v>43024.0</v>
      </c>
      <c r="C109" s="52">
        <v>3007.0</v>
      </c>
      <c r="D109" s="52" t="s">
        <v>661</v>
      </c>
      <c r="E109" s="55">
        <v>21298.4</v>
      </c>
      <c r="F109" s="56">
        <v>43291.0</v>
      </c>
      <c r="G109" s="52" t="s">
        <v>660</v>
      </c>
      <c r="H109" s="113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2.75" customHeight="1">
      <c r="A110" s="52" t="s">
        <v>662</v>
      </c>
      <c r="B110" s="53">
        <v>42927.0</v>
      </c>
      <c r="C110" s="52">
        <v>3007.0</v>
      </c>
      <c r="D110" s="52" t="s">
        <v>663</v>
      </c>
      <c r="E110" s="55">
        <v>18520.0</v>
      </c>
      <c r="F110" s="56"/>
      <c r="G110" s="52" t="s">
        <v>664</v>
      </c>
      <c r="H110" s="113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2.75" customHeight="1">
      <c r="A111" s="121"/>
      <c r="B111" s="139"/>
      <c r="C111" s="140">
        <v>42998.0</v>
      </c>
      <c r="D111" s="121">
        <v>711.0</v>
      </c>
      <c r="E111" s="59">
        <f>E110-706.08</f>
        <v>17813.92</v>
      </c>
      <c r="F111" s="124"/>
      <c r="G111" s="121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2.75" customHeight="1">
      <c r="A112" s="121"/>
      <c r="B112" s="139"/>
      <c r="C112" s="140">
        <v>42998.0</v>
      </c>
      <c r="D112" s="121">
        <v>722.0</v>
      </c>
      <c r="E112" s="59">
        <f>E111-722.28</f>
        <v>17091.64</v>
      </c>
      <c r="F112" s="124"/>
      <c r="G112" s="121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2.75" customHeight="1">
      <c r="A113" s="121"/>
      <c r="B113" s="139">
        <v>43025.0</v>
      </c>
      <c r="C113" s="140">
        <v>43055.0</v>
      </c>
      <c r="D113" s="121">
        <v>846.0</v>
      </c>
      <c r="E113" s="59">
        <f>E112-921.37</f>
        <v>16170.27</v>
      </c>
      <c r="F113" s="124"/>
      <c r="G113" s="121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2.75" customHeight="1">
      <c r="A114" s="121"/>
      <c r="B114" s="139">
        <v>43053.0</v>
      </c>
      <c r="C114" s="140">
        <v>43062.0</v>
      </c>
      <c r="D114" s="121">
        <v>903.0</v>
      </c>
      <c r="E114" s="59">
        <f>E113-493.1</f>
        <v>15677.17</v>
      </c>
      <c r="F114" s="124"/>
      <c r="G114" s="121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2.75" customHeight="1">
      <c r="A115" s="121"/>
      <c r="B115" s="139">
        <v>43060.0</v>
      </c>
      <c r="C115" s="140">
        <v>43062.0</v>
      </c>
      <c r="D115" s="121">
        <v>923.0</v>
      </c>
      <c r="E115" s="59">
        <f>E114-458.37</f>
        <v>15218.8</v>
      </c>
      <c r="F115" s="124"/>
      <c r="G115" s="121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2.75" customHeight="1">
      <c r="A116" s="52" t="s">
        <v>669</v>
      </c>
      <c r="B116" s="53">
        <v>42975.0</v>
      </c>
      <c r="C116" s="52">
        <v>3916.0</v>
      </c>
      <c r="D116" s="52" t="s">
        <v>670</v>
      </c>
      <c r="E116" s="55">
        <v>18219.8</v>
      </c>
      <c r="F116" s="56">
        <v>43327.0</v>
      </c>
      <c r="G116" s="52" t="s">
        <v>671</v>
      </c>
      <c r="H116" s="113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2.75" customHeight="1">
      <c r="A117" s="52" t="s">
        <v>672</v>
      </c>
      <c r="B117" s="53">
        <v>43031.0</v>
      </c>
      <c r="C117" s="52">
        <v>3036.0</v>
      </c>
      <c r="D117" s="52" t="s">
        <v>673</v>
      </c>
      <c r="E117" s="55">
        <v>3359.72</v>
      </c>
      <c r="F117" s="56">
        <v>43174.0</v>
      </c>
      <c r="G117" s="52" t="s">
        <v>654</v>
      </c>
      <c r="H117" s="113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2.75" customHeight="1">
      <c r="A118" s="52" t="s">
        <v>74</v>
      </c>
      <c r="B118" s="53">
        <v>42842.0</v>
      </c>
      <c r="C118" s="52">
        <v>3950.0</v>
      </c>
      <c r="D118" s="52" t="s">
        <v>674</v>
      </c>
      <c r="E118" s="55">
        <v>5250.0</v>
      </c>
      <c r="F118" s="56">
        <v>43076.0</v>
      </c>
      <c r="G118" s="52" t="s">
        <v>675</v>
      </c>
      <c r="H118" s="19" t="s">
        <v>13</v>
      </c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2.75" customHeight="1">
      <c r="A119" s="1"/>
      <c r="C119" s="22">
        <v>42837.0</v>
      </c>
      <c r="D119" s="23">
        <v>6052.0</v>
      </c>
      <c r="E119" s="164">
        <f>E118-5207.35</f>
        <v>42.65</v>
      </c>
    </row>
    <row r="120" ht="12.75" customHeight="1">
      <c r="A120" s="52" t="s">
        <v>74</v>
      </c>
      <c r="B120" s="53">
        <v>42965.0</v>
      </c>
      <c r="C120" s="52">
        <v>3950.0</v>
      </c>
      <c r="D120" s="52" t="s">
        <v>676</v>
      </c>
      <c r="E120" s="55">
        <v>51750.0</v>
      </c>
      <c r="F120" s="56">
        <v>43076.0</v>
      </c>
      <c r="G120" s="52" t="s">
        <v>677</v>
      </c>
      <c r="H120" s="19" t="s">
        <v>13</v>
      </c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2.75" customHeight="1">
      <c r="A121" s="121"/>
      <c r="B121" s="139">
        <v>43026.0</v>
      </c>
      <c r="C121" s="140">
        <v>43033.0</v>
      </c>
      <c r="D121" s="121">
        <v>6526.0</v>
      </c>
      <c r="E121" s="155">
        <f>E120-3620.11</f>
        <v>48129.89</v>
      </c>
      <c r="F121" s="124"/>
      <c r="G121" s="121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2.75" customHeight="1">
      <c r="A122" s="121"/>
      <c r="B122" s="139">
        <v>43052.0</v>
      </c>
      <c r="C122" s="140">
        <v>43060.0</v>
      </c>
      <c r="D122" s="121">
        <v>6584.0</v>
      </c>
      <c r="E122" s="155">
        <f>E121-3311.89</f>
        <v>44818</v>
      </c>
      <c r="F122" s="124"/>
      <c r="G122" s="121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2.75" customHeight="1">
      <c r="A123" s="29" t="s">
        <v>77</v>
      </c>
      <c r="B123" s="31">
        <v>42828.0</v>
      </c>
      <c r="C123" s="29">
        <v>3950.0</v>
      </c>
      <c r="D123" s="29" t="s">
        <v>681</v>
      </c>
      <c r="E123" s="33">
        <v>800000.0</v>
      </c>
      <c r="F123" s="34"/>
      <c r="G123" s="29" t="s">
        <v>682</v>
      </c>
      <c r="H123" s="19" t="s">
        <v>13</v>
      </c>
      <c r="I123" s="38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29"/>
      <c r="B124" s="119">
        <v>42793.0</v>
      </c>
      <c r="C124" s="32"/>
      <c r="D124" s="120">
        <v>20450.0</v>
      </c>
      <c r="E124" s="33">
        <f>E123-306839.26</f>
        <v>493160.74</v>
      </c>
      <c r="F124" s="34"/>
      <c r="G124" s="29"/>
      <c r="H124" s="1"/>
      <c r="I124" s="38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29"/>
      <c r="B125" s="119">
        <v>42819.0</v>
      </c>
      <c r="C125" s="32"/>
      <c r="D125" s="120">
        <v>20647.0</v>
      </c>
      <c r="E125" s="33">
        <f>E124-381437.77</f>
        <v>111722.97</v>
      </c>
      <c r="F125" s="34"/>
      <c r="G125" s="29"/>
      <c r="H125" s="1"/>
      <c r="I125" s="38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29"/>
      <c r="B126" s="119">
        <v>42850.0</v>
      </c>
      <c r="C126" s="32"/>
      <c r="D126" s="120">
        <v>20861.0</v>
      </c>
      <c r="E126" s="33">
        <f>E125-111722.97</f>
        <v>0</v>
      </c>
      <c r="F126" s="34"/>
      <c r="G126" s="29"/>
      <c r="H126" s="113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2.75" customHeight="1">
      <c r="A127" s="52" t="s">
        <v>77</v>
      </c>
      <c r="B127" s="53">
        <v>42867.0</v>
      </c>
      <c r="C127" s="52">
        <v>3950.0</v>
      </c>
      <c r="D127" s="52" t="s">
        <v>735</v>
      </c>
      <c r="E127" s="55">
        <v>548740.0</v>
      </c>
      <c r="F127" s="56"/>
      <c r="G127" s="52" t="s">
        <v>736</v>
      </c>
      <c r="H127" s="19" t="s">
        <v>13</v>
      </c>
      <c r="I127" s="38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50"/>
      <c r="B128" s="122">
        <v>42850.0</v>
      </c>
      <c r="C128" s="58"/>
      <c r="D128" s="123">
        <v>20861.0</v>
      </c>
      <c r="E128" s="59">
        <f>E127-230885.55</f>
        <v>317854.45</v>
      </c>
      <c r="F128" s="60"/>
      <c r="G128" s="50"/>
      <c r="H128" s="113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2.75" customHeight="1">
      <c r="A129" s="50"/>
      <c r="B129" s="122">
        <v>42877.0</v>
      </c>
      <c r="C129" s="122">
        <v>42887.0</v>
      </c>
      <c r="D129" s="123">
        <v>21102.0</v>
      </c>
      <c r="E129" s="59">
        <f>E128-36805.98</f>
        <v>281048.47</v>
      </c>
      <c r="F129" s="60"/>
      <c r="G129" s="50"/>
      <c r="H129" s="113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2.75" customHeight="1">
      <c r="A130" s="50"/>
      <c r="B130" s="122">
        <v>42933.0</v>
      </c>
      <c r="C130" s="122">
        <v>42944.0</v>
      </c>
      <c r="D130" s="123">
        <v>21535.0</v>
      </c>
      <c r="E130" s="59">
        <f>E129-55428.94</f>
        <v>225619.53</v>
      </c>
      <c r="F130" s="60"/>
      <c r="G130" s="50"/>
      <c r="H130" s="113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2.75" customHeight="1">
      <c r="A131" s="50"/>
      <c r="B131" s="122">
        <v>42956.0</v>
      </c>
      <c r="C131" s="122">
        <v>42971.0</v>
      </c>
      <c r="D131" s="123">
        <v>21733.0</v>
      </c>
      <c r="E131" s="59">
        <f>E130-60250.76</f>
        <v>165368.77</v>
      </c>
      <c r="F131" s="60"/>
      <c r="G131" s="50"/>
      <c r="H131" s="113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2.75" customHeight="1">
      <c r="A132" s="50"/>
      <c r="B132" s="122">
        <v>42999.0</v>
      </c>
      <c r="C132" s="122">
        <v>43011.0</v>
      </c>
      <c r="D132" s="123">
        <v>22052.0</v>
      </c>
      <c r="E132" s="59">
        <f>E131-59404.36</f>
        <v>105964.41</v>
      </c>
      <c r="F132" s="60"/>
      <c r="G132" s="50"/>
      <c r="H132" s="113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2.75" customHeight="1">
      <c r="A133" s="50"/>
      <c r="B133" s="122">
        <v>43024.0</v>
      </c>
      <c r="C133" s="122">
        <v>43033.0</v>
      </c>
      <c r="D133" s="123">
        <v>22253.0</v>
      </c>
      <c r="E133" s="59">
        <f>E132-59019.94</f>
        <v>46944.47</v>
      </c>
      <c r="F133" s="60"/>
      <c r="G133" s="50"/>
      <c r="H133" s="113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2.75" customHeight="1">
      <c r="A134" s="50"/>
      <c r="B134" s="122">
        <v>43055.0</v>
      </c>
      <c r="C134" s="122">
        <v>43061.0</v>
      </c>
      <c r="D134" s="123">
        <v>22512.0</v>
      </c>
      <c r="E134" s="59">
        <f>E133-41767.56</f>
        <v>5176.91</v>
      </c>
      <c r="F134" s="60"/>
      <c r="G134" s="50"/>
      <c r="H134" s="113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2.75" customHeight="1">
      <c r="A135" s="50"/>
      <c r="B135" s="122">
        <v>43055.0</v>
      </c>
      <c r="C135" s="122">
        <v>43062.0</v>
      </c>
      <c r="D135" s="123">
        <v>22511.0</v>
      </c>
      <c r="E135" s="47">
        <f>E134-46944.47</f>
        <v>-41767.56</v>
      </c>
      <c r="F135" s="60"/>
      <c r="G135" s="50"/>
      <c r="H135" s="113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2.75" customHeight="1">
      <c r="A136" s="52" t="s">
        <v>737</v>
      </c>
      <c r="B136" s="53">
        <v>42884.0</v>
      </c>
      <c r="C136" s="52">
        <v>3950.0</v>
      </c>
      <c r="D136" s="52" t="s">
        <v>738</v>
      </c>
      <c r="E136" s="55">
        <v>238000.0</v>
      </c>
      <c r="F136" s="56"/>
      <c r="G136" s="52" t="s">
        <v>740</v>
      </c>
      <c r="H136" s="19" t="s">
        <v>13</v>
      </c>
      <c r="I136" s="38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50"/>
      <c r="B137" s="122">
        <v>42955.0</v>
      </c>
      <c r="C137" s="122">
        <v>42962.0</v>
      </c>
      <c r="D137" s="123">
        <v>7176.0</v>
      </c>
      <c r="E137" s="59">
        <f>E136-421.5</f>
        <v>237578.5</v>
      </c>
      <c r="F137" s="60"/>
      <c r="G137" s="50"/>
      <c r="H137" s="113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2.75" customHeight="1">
      <c r="A138" s="50"/>
      <c r="B138" s="122">
        <v>43007.0</v>
      </c>
      <c r="C138" s="122">
        <v>43017.0</v>
      </c>
      <c r="D138" s="123">
        <v>7354.0</v>
      </c>
      <c r="E138" s="59">
        <f>E137-2411.5</f>
        <v>235167</v>
      </c>
      <c r="F138" s="60"/>
      <c r="G138" s="50"/>
      <c r="H138" s="113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2.75" customHeight="1">
      <c r="A139" s="50"/>
      <c r="B139" s="122">
        <v>43028.0</v>
      </c>
      <c r="C139" s="122">
        <v>43035.0</v>
      </c>
      <c r="D139" s="123">
        <v>7425.0</v>
      </c>
      <c r="E139" s="59">
        <f>E138-7371.5</f>
        <v>227795.5</v>
      </c>
      <c r="F139" s="60"/>
      <c r="G139" s="50"/>
      <c r="H139" s="113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2.75" customHeight="1">
      <c r="A140" s="29" t="s">
        <v>443</v>
      </c>
      <c r="B140" s="31">
        <v>42745.0</v>
      </c>
      <c r="C140" s="32">
        <v>3009.0</v>
      </c>
      <c r="D140" s="29" t="s">
        <v>747</v>
      </c>
      <c r="E140" s="33">
        <v>7149.0</v>
      </c>
      <c r="F140" s="34">
        <v>43090.0</v>
      </c>
      <c r="G140" s="29" t="s">
        <v>748</v>
      </c>
      <c r="H140" s="113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2.75" customHeight="1">
      <c r="A141" s="29"/>
      <c r="B141" s="119">
        <v>42825.0</v>
      </c>
      <c r="C141" s="119">
        <v>42874.0</v>
      </c>
      <c r="D141" s="120">
        <v>3922.0</v>
      </c>
      <c r="E141" s="33">
        <f>E140-7149</f>
        <v>0</v>
      </c>
      <c r="F141" s="34"/>
      <c r="G141" s="29"/>
      <c r="H141" s="1"/>
      <c r="I141" s="113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2.75" customHeight="1">
      <c r="A142" s="159" t="s">
        <v>443</v>
      </c>
      <c r="B142" s="31">
        <v>42836.0</v>
      </c>
      <c r="C142" s="32">
        <v>3009.0</v>
      </c>
      <c r="D142" s="32" t="s">
        <v>749</v>
      </c>
      <c r="E142" s="33">
        <v>7149.0</v>
      </c>
      <c r="F142" s="34">
        <v>43090.0</v>
      </c>
      <c r="G142" s="32" t="s">
        <v>748</v>
      </c>
      <c r="H142" s="14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ht="12.75" customHeight="1">
      <c r="A143" s="32"/>
      <c r="B143" s="31">
        <v>43007.0</v>
      </c>
      <c r="C143" s="109">
        <v>43026.0</v>
      </c>
      <c r="D143" s="32">
        <v>5504.0</v>
      </c>
      <c r="E143" s="33">
        <f>E142-7149</f>
        <v>0</v>
      </c>
      <c r="F143" s="34"/>
      <c r="G143" s="32"/>
      <c r="H143" s="14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ht="12.75" customHeight="1">
      <c r="A144" s="52" t="s">
        <v>443</v>
      </c>
      <c r="B144" s="53">
        <v>42885.0</v>
      </c>
      <c r="C144" s="54">
        <v>3009.0</v>
      </c>
      <c r="D144" s="52" t="s">
        <v>751</v>
      </c>
      <c r="E144" s="55">
        <v>14298.0</v>
      </c>
      <c r="F144" s="56">
        <v>43090.0</v>
      </c>
      <c r="G144" s="52" t="s">
        <v>752</v>
      </c>
      <c r="H144" s="113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2.75" customHeight="1">
      <c r="A145" s="159" t="s">
        <v>443</v>
      </c>
      <c r="B145" s="31">
        <v>42968.0</v>
      </c>
      <c r="C145" s="32">
        <v>3036.0</v>
      </c>
      <c r="D145" s="32" t="s">
        <v>753</v>
      </c>
      <c r="E145" s="33">
        <v>35000.0</v>
      </c>
      <c r="F145" s="34">
        <v>43312.0</v>
      </c>
      <c r="G145" s="32" t="s">
        <v>754</v>
      </c>
      <c r="H145" s="14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ht="12.75" customHeight="1">
      <c r="A146" s="32"/>
      <c r="B146" s="31">
        <v>43017.0</v>
      </c>
      <c r="C146" s="109">
        <v>43028.0</v>
      </c>
      <c r="D146" s="32">
        <v>5567.0</v>
      </c>
      <c r="E146" s="33">
        <f>E145-35000</f>
        <v>0</v>
      </c>
      <c r="F146" s="34"/>
      <c r="G146" s="32"/>
      <c r="H146" s="14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ht="12.75" customHeight="1">
      <c r="A147" s="191" t="s">
        <v>443</v>
      </c>
      <c r="B147" s="53">
        <v>43066.0</v>
      </c>
      <c r="C147" s="54">
        <v>3036.0</v>
      </c>
      <c r="D147" s="54" t="s">
        <v>757</v>
      </c>
      <c r="E147" s="55">
        <v>34000.0</v>
      </c>
      <c r="F147" s="56">
        <v>43312.0</v>
      </c>
      <c r="G147" s="54" t="s">
        <v>758</v>
      </c>
      <c r="H147" s="18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2.75" customHeight="1">
      <c r="A148" s="29" t="s">
        <v>455</v>
      </c>
      <c r="B148" s="31">
        <v>42867.0</v>
      </c>
      <c r="C148" s="29">
        <v>3036.0</v>
      </c>
      <c r="D148" s="29" t="s">
        <v>759</v>
      </c>
      <c r="E148" s="33">
        <v>11146.25</v>
      </c>
      <c r="F148" s="34">
        <v>43066.0</v>
      </c>
      <c r="G148" s="29" t="s">
        <v>760</v>
      </c>
      <c r="H148" s="113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2.75" customHeight="1">
      <c r="A149" s="29"/>
      <c r="B149" s="119">
        <v>43026.0</v>
      </c>
      <c r="C149" s="119">
        <v>43045.0</v>
      </c>
      <c r="D149" s="120">
        <v>87884.0</v>
      </c>
      <c r="E149" s="33">
        <f>E148-11146.25</f>
        <v>0</v>
      </c>
      <c r="F149" s="34"/>
      <c r="G149" s="29"/>
      <c r="H149" s="113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2.75" customHeight="1">
      <c r="A150" s="52" t="s">
        <v>761</v>
      </c>
      <c r="B150" s="53">
        <v>43031.0</v>
      </c>
      <c r="C150" s="52">
        <v>3036.0</v>
      </c>
      <c r="D150" s="52" t="s">
        <v>762</v>
      </c>
      <c r="E150" s="55">
        <v>1140.0</v>
      </c>
      <c r="F150" s="56">
        <v>43174.0</v>
      </c>
      <c r="G150" s="52" t="s">
        <v>654</v>
      </c>
      <c r="H150" s="113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2.75" customHeight="1">
      <c r="A151" s="29" t="s">
        <v>461</v>
      </c>
      <c r="B151" s="31">
        <v>42850.0</v>
      </c>
      <c r="C151" s="29">
        <v>3950.0</v>
      </c>
      <c r="D151" s="29" t="s">
        <v>763</v>
      </c>
      <c r="E151" s="33">
        <v>50000.0</v>
      </c>
      <c r="F151" s="34"/>
      <c r="G151" s="29" t="s">
        <v>764</v>
      </c>
      <c r="H151" s="113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2.75" customHeight="1">
      <c r="A152" s="29"/>
      <c r="B152" s="130">
        <v>42828.0</v>
      </c>
      <c r="C152" s="32"/>
      <c r="D152" s="135">
        <v>2069.0</v>
      </c>
      <c r="E152" s="33">
        <f>E151-50000</f>
        <v>0</v>
      </c>
      <c r="F152" s="34"/>
      <c r="G152" s="29"/>
      <c r="H152" s="1"/>
      <c r="I152" s="1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29" t="s">
        <v>461</v>
      </c>
      <c r="B153" s="31">
        <v>42828.0</v>
      </c>
      <c r="C153" s="29">
        <v>3950.0</v>
      </c>
      <c r="D153" s="29" t="s">
        <v>766</v>
      </c>
      <c r="E153" s="33">
        <v>240000.0</v>
      </c>
      <c r="F153" s="34"/>
      <c r="G153" s="29" t="s">
        <v>764</v>
      </c>
      <c r="H153" s="19" t="s">
        <v>13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29"/>
      <c r="B154" s="130">
        <v>42828.0</v>
      </c>
      <c r="C154" s="32"/>
      <c r="D154" s="135">
        <v>2069.0</v>
      </c>
      <c r="E154" s="33">
        <f>E153-9928</f>
        <v>230072</v>
      </c>
      <c r="F154" s="34"/>
      <c r="G154" s="29"/>
      <c r="H154" s="1"/>
      <c r="I154" s="1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29"/>
      <c r="B155" s="130">
        <v>42859.0</v>
      </c>
      <c r="C155" s="130">
        <v>42886.0</v>
      </c>
      <c r="D155" s="135">
        <v>2087.0</v>
      </c>
      <c r="E155" s="33">
        <f>E154-73870.16</f>
        <v>156201.84</v>
      </c>
      <c r="F155" s="34"/>
      <c r="G155" s="29"/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29"/>
      <c r="B156" s="130">
        <v>42859.0</v>
      </c>
      <c r="C156" s="130">
        <v>42886.0</v>
      </c>
      <c r="D156" s="135">
        <v>2086.0</v>
      </c>
      <c r="E156" s="33">
        <f>E155-2400</f>
        <v>153801.84</v>
      </c>
      <c r="F156" s="34"/>
      <c r="G156" s="29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29"/>
      <c r="B157" s="130">
        <v>42894.0</v>
      </c>
      <c r="C157" s="130">
        <v>42920.0</v>
      </c>
      <c r="D157" s="135">
        <v>2124.0</v>
      </c>
      <c r="E157" s="33">
        <f>E156-79025.13</f>
        <v>74776.71</v>
      </c>
      <c r="F157" s="34"/>
      <c r="G157" s="29"/>
      <c r="H157" s="1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29"/>
      <c r="B158" s="130">
        <v>42920.0</v>
      </c>
      <c r="C158" s="130">
        <v>42944.0</v>
      </c>
      <c r="D158" s="135">
        <v>2157.0</v>
      </c>
      <c r="E158" s="33">
        <f>E157-74776.71</f>
        <v>0</v>
      </c>
      <c r="F158" s="34"/>
      <c r="G158" s="29"/>
      <c r="H158" s="1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52" t="s">
        <v>461</v>
      </c>
      <c r="B159" s="53">
        <v>42867.0</v>
      </c>
      <c r="C159" s="52">
        <v>3950.0</v>
      </c>
      <c r="D159" s="52" t="s">
        <v>770</v>
      </c>
      <c r="E159" s="55">
        <v>160000.0</v>
      </c>
      <c r="F159" s="56"/>
      <c r="G159" s="52" t="s">
        <v>771</v>
      </c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50"/>
      <c r="B160" s="194">
        <v>42920.0</v>
      </c>
      <c r="C160" s="194">
        <v>42944.0</v>
      </c>
      <c r="D160" s="195">
        <v>2157.0</v>
      </c>
      <c r="E160" s="59">
        <f>E159-1750.65</f>
        <v>158249.35</v>
      </c>
      <c r="F160" s="60"/>
      <c r="G160" s="50"/>
      <c r="H160" s="1"/>
      <c r="I160" s="1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50"/>
      <c r="B161" s="194">
        <v>42951.0</v>
      </c>
      <c r="C161" s="194">
        <v>42954.0</v>
      </c>
      <c r="D161" s="195">
        <v>2201.0</v>
      </c>
      <c r="E161" s="59">
        <f t="shared" ref="E161:E162" si="3">E160-79078.27</f>
        <v>79171.08</v>
      </c>
      <c r="F161" s="60"/>
      <c r="G161" s="50"/>
      <c r="H161" s="1"/>
      <c r="I161" s="1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50"/>
      <c r="B162" s="194">
        <v>42982.0</v>
      </c>
      <c r="C162" s="194">
        <v>43003.0</v>
      </c>
      <c r="D162" s="195">
        <v>2225.0</v>
      </c>
      <c r="E162" s="59">
        <f t="shared" si="3"/>
        <v>92.81</v>
      </c>
      <c r="F162" s="60"/>
      <c r="G162" s="50"/>
      <c r="H162" s="1"/>
      <c r="I162" s="1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29" t="s">
        <v>461</v>
      </c>
      <c r="B163" s="31">
        <v>42874.0</v>
      </c>
      <c r="C163" s="29">
        <v>3950.0</v>
      </c>
      <c r="D163" s="29" t="s">
        <v>773</v>
      </c>
      <c r="E163" s="33">
        <v>53928.0</v>
      </c>
      <c r="F163" s="34"/>
      <c r="G163" s="29" t="s">
        <v>771</v>
      </c>
      <c r="H163" s="10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2.75" customHeight="1">
      <c r="A164" s="32"/>
      <c r="B164" s="31">
        <v>43011.0</v>
      </c>
      <c r="C164" s="109">
        <v>43017.0</v>
      </c>
      <c r="D164" s="32">
        <v>2300.0</v>
      </c>
      <c r="E164" s="33">
        <f>E163-E163</f>
        <v>0</v>
      </c>
      <c r="F164" s="34" t="s">
        <v>774</v>
      </c>
      <c r="G164" s="32"/>
      <c r="H164" s="14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ht="12.75" customHeight="1">
      <c r="A165" s="52" t="s">
        <v>461</v>
      </c>
      <c r="B165" s="53">
        <v>42976.0</v>
      </c>
      <c r="C165" s="52">
        <v>3950.0</v>
      </c>
      <c r="D165" s="52" t="s">
        <v>775</v>
      </c>
      <c r="E165" s="55">
        <v>302000.0</v>
      </c>
      <c r="F165" s="56"/>
      <c r="G165" s="52" t="s">
        <v>771</v>
      </c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41"/>
      <c r="B166" s="142">
        <v>43011.0</v>
      </c>
      <c r="C166" s="143">
        <v>43017.0</v>
      </c>
      <c r="D166" s="141">
        <v>2300.0</v>
      </c>
      <c r="E166" s="144">
        <f>E165-22599.36</f>
        <v>279400.64</v>
      </c>
      <c r="F166" s="145" t="s">
        <v>774</v>
      </c>
      <c r="G166" s="141"/>
      <c r="H166" s="146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</row>
    <row r="167" ht="11.25" customHeight="1">
      <c r="A167" s="141"/>
      <c r="B167" s="142">
        <v>43045.0</v>
      </c>
      <c r="C167" s="143">
        <v>43062.0</v>
      </c>
      <c r="D167" s="141">
        <v>2325.0</v>
      </c>
      <c r="E167" s="144">
        <f>E166-79078.27</f>
        <v>200322.37</v>
      </c>
      <c r="F167" s="145"/>
      <c r="G167" s="141"/>
      <c r="H167" s="146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</row>
    <row r="168" ht="12.75" customHeight="1">
      <c r="A168" s="29" t="s">
        <v>85</v>
      </c>
      <c r="B168" s="31">
        <v>42779.0</v>
      </c>
      <c r="C168" s="32">
        <v>3950.0</v>
      </c>
      <c r="D168" s="29" t="s">
        <v>777</v>
      </c>
      <c r="E168" s="33">
        <v>100000.0</v>
      </c>
      <c r="F168" s="34">
        <v>43076.0</v>
      </c>
      <c r="G168" s="29" t="s">
        <v>778</v>
      </c>
      <c r="H168" s="113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2.75" customHeight="1">
      <c r="A169" s="29"/>
      <c r="B169" s="130">
        <v>42867.0</v>
      </c>
      <c r="C169" s="130">
        <v>42887.0</v>
      </c>
      <c r="D169" s="135">
        <v>96621.0</v>
      </c>
      <c r="E169" s="33">
        <f>E168-100000</f>
        <v>0</v>
      </c>
      <c r="F169" s="34"/>
      <c r="G169" s="29"/>
      <c r="H169" s="1"/>
      <c r="I169" s="1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29" t="s">
        <v>85</v>
      </c>
      <c r="B170" s="31">
        <v>42828.0</v>
      </c>
      <c r="C170" s="32">
        <v>3950.0</v>
      </c>
      <c r="D170" s="29" t="s">
        <v>780</v>
      </c>
      <c r="E170" s="33">
        <v>130000.0</v>
      </c>
      <c r="F170" s="34">
        <v>43076.0</v>
      </c>
      <c r="G170" s="29" t="s">
        <v>778</v>
      </c>
      <c r="H170" s="19" t="s">
        <v>13</v>
      </c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2.75" customHeight="1">
      <c r="A171" s="29"/>
      <c r="B171" s="130">
        <v>42867.0</v>
      </c>
      <c r="C171" s="130">
        <v>42887.0</v>
      </c>
      <c r="D171" s="135">
        <v>96621.0</v>
      </c>
      <c r="E171" s="33">
        <f>E170-51600.13</f>
        <v>78399.87</v>
      </c>
      <c r="F171" s="34"/>
      <c r="G171" s="29"/>
      <c r="H171" s="1"/>
      <c r="I171" s="1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29"/>
      <c r="B172" s="130">
        <v>42937.0</v>
      </c>
      <c r="C172" s="130">
        <v>42944.0</v>
      </c>
      <c r="D172" s="135">
        <v>99145.0</v>
      </c>
      <c r="E172" s="33">
        <f>E171-78399.87</f>
        <v>0</v>
      </c>
      <c r="F172" s="34"/>
      <c r="G172" s="29"/>
      <c r="H172" s="1"/>
      <c r="I172" s="1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52" t="s">
        <v>85</v>
      </c>
      <c r="B173" s="53">
        <v>42867.0</v>
      </c>
      <c r="C173" s="54">
        <v>3950.0</v>
      </c>
      <c r="D173" s="52" t="s">
        <v>782</v>
      </c>
      <c r="E173" s="55">
        <v>230000.0</v>
      </c>
      <c r="F173" s="56">
        <v>43076.0</v>
      </c>
      <c r="G173" s="52" t="s">
        <v>783</v>
      </c>
      <c r="H173" s="19" t="s">
        <v>13</v>
      </c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2.75" customHeight="1">
      <c r="A174" s="50"/>
      <c r="B174" s="101">
        <v>42776.0</v>
      </c>
      <c r="C174" s="58"/>
      <c r="D174" s="102">
        <v>93012.0</v>
      </c>
      <c r="E174" s="59">
        <f>E173-33887.65</f>
        <v>196112.35</v>
      </c>
      <c r="F174" s="60"/>
      <c r="G174" s="50"/>
      <c r="H174" s="1"/>
      <c r="I174" s="38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50"/>
      <c r="B175" s="101">
        <v>42809.0</v>
      </c>
      <c r="C175" s="58"/>
      <c r="D175" s="102">
        <v>94207.0</v>
      </c>
      <c r="E175" s="59">
        <f>E174-69563.2</f>
        <v>126549.15</v>
      </c>
      <c r="F175" s="60"/>
      <c r="G175" s="50"/>
      <c r="H175" s="1"/>
      <c r="I175" s="38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50"/>
      <c r="B176" s="101">
        <v>42836.0</v>
      </c>
      <c r="C176" s="58"/>
      <c r="D176" s="102">
        <v>95410.0</v>
      </c>
      <c r="E176" s="59">
        <f>E175-65749.81</f>
        <v>60799.34</v>
      </c>
      <c r="F176" s="60"/>
      <c r="G176" s="50"/>
      <c r="H176" s="113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2.75" customHeight="1">
      <c r="A177" s="50"/>
      <c r="B177" s="194">
        <v>42867.0</v>
      </c>
      <c r="C177" s="194">
        <v>42887.0</v>
      </c>
      <c r="D177" s="195">
        <v>96622.0</v>
      </c>
      <c r="E177" s="59">
        <f>E176-19163.18</f>
        <v>41636.16</v>
      </c>
      <c r="F177" s="60"/>
      <c r="G177" s="50"/>
      <c r="H177" s="1"/>
      <c r="I177" s="1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50"/>
      <c r="B178" s="194">
        <v>42913.0</v>
      </c>
      <c r="C178" s="194">
        <v>42922.0</v>
      </c>
      <c r="D178" s="195">
        <v>98398.0</v>
      </c>
      <c r="E178" s="59">
        <v>147278.94</v>
      </c>
      <c r="F178" s="60"/>
      <c r="G178" s="50"/>
      <c r="H178" s="1"/>
      <c r="I178" s="1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50"/>
      <c r="B179" s="194">
        <v>42937.0</v>
      </c>
      <c r="C179" s="194">
        <v>42944.0</v>
      </c>
      <c r="D179" s="195">
        <v>99144.0</v>
      </c>
      <c r="E179" s="59">
        <f>E178-60638.39</f>
        <v>86640.55</v>
      </c>
      <c r="F179" s="60"/>
      <c r="G179" s="50"/>
      <c r="H179" s="1"/>
      <c r="I179" s="1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50"/>
      <c r="B180" s="194">
        <v>42954.0</v>
      </c>
      <c r="C180" s="194">
        <v>42962.0</v>
      </c>
      <c r="D180" s="195">
        <v>99707.0</v>
      </c>
      <c r="E180" s="47">
        <f>E179-90246.79</f>
        <v>-3606.24</v>
      </c>
      <c r="F180" s="60"/>
      <c r="G180" s="50"/>
      <c r="H180" s="1"/>
      <c r="I180" s="1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52" t="s">
        <v>85</v>
      </c>
      <c r="B181" s="53">
        <v>42965.0</v>
      </c>
      <c r="C181" s="54">
        <v>3950.0</v>
      </c>
      <c r="D181" s="52" t="s">
        <v>784</v>
      </c>
      <c r="E181" s="55">
        <v>240000.0</v>
      </c>
      <c r="F181" s="56">
        <v>43076.0</v>
      </c>
      <c r="G181" s="52" t="s">
        <v>785</v>
      </c>
      <c r="H181" s="19" t="s">
        <v>13</v>
      </c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2.75" customHeight="1">
      <c r="A182" s="121"/>
      <c r="B182" s="139">
        <v>42998.0</v>
      </c>
      <c r="C182" s="156">
        <v>43006.0</v>
      </c>
      <c r="D182" s="121">
        <v>101090.0</v>
      </c>
      <c r="E182" s="155">
        <f>E181-76807.8</f>
        <v>163192.2</v>
      </c>
      <c r="F182" s="124"/>
      <c r="G182" s="121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2.75" customHeight="1">
      <c r="A183" s="121"/>
      <c r="B183" s="139">
        <v>43027.0</v>
      </c>
      <c r="C183" s="156">
        <v>43035.0</v>
      </c>
      <c r="D183" s="121">
        <v>102068.0</v>
      </c>
      <c r="E183" s="155">
        <f>E182-88417.26</f>
        <v>74774.94</v>
      </c>
      <c r="F183" s="124"/>
      <c r="G183" s="121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2.75" customHeight="1">
      <c r="A184" s="121"/>
      <c r="B184" s="139">
        <v>43053.0</v>
      </c>
      <c r="C184" s="156">
        <v>43062.0</v>
      </c>
      <c r="D184" s="121">
        <v>102891.0</v>
      </c>
      <c r="E184" s="155">
        <f>E183-66175.37</f>
        <v>8599.57</v>
      </c>
      <c r="F184" s="124"/>
      <c r="G184" s="121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2.75" customHeight="1">
      <c r="A185" s="52" t="s">
        <v>85</v>
      </c>
      <c r="B185" s="53">
        <v>42867.0</v>
      </c>
      <c r="C185" s="54">
        <v>3950.0</v>
      </c>
      <c r="D185" s="52" t="s">
        <v>789</v>
      </c>
      <c r="E185" s="55">
        <v>579019.0</v>
      </c>
      <c r="F185" s="56">
        <v>43076.0</v>
      </c>
      <c r="G185" s="52" t="s">
        <v>778</v>
      </c>
      <c r="H185" s="113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2.75" customHeight="1">
      <c r="A186" s="50"/>
      <c r="B186" s="194">
        <v>42937.0</v>
      </c>
      <c r="C186" s="194">
        <v>42944.0</v>
      </c>
      <c r="D186" s="195">
        <v>99145.0</v>
      </c>
      <c r="E186" s="59">
        <f>E185-18483.15</f>
        <v>560535.85</v>
      </c>
      <c r="F186" s="60"/>
      <c r="G186" s="50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50"/>
      <c r="B187" s="194">
        <v>42923.0</v>
      </c>
      <c r="C187" s="194">
        <v>42944.0</v>
      </c>
      <c r="D187" s="195">
        <v>98742.0</v>
      </c>
      <c r="E187" s="59">
        <v>327301.74</v>
      </c>
      <c r="F187" s="60"/>
      <c r="G187" s="50"/>
      <c r="H187" s="1"/>
      <c r="I187" s="1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50"/>
      <c r="B188" s="194">
        <v>42998.0</v>
      </c>
      <c r="C188" s="194">
        <v>43003.0</v>
      </c>
      <c r="D188" s="195">
        <v>101091.0</v>
      </c>
      <c r="E188" s="59">
        <f>E187-97011.32</f>
        <v>230290.42</v>
      </c>
      <c r="F188" s="60"/>
      <c r="G188" s="50"/>
      <c r="H188" s="1"/>
      <c r="I188" s="1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50"/>
      <c r="B189" s="194">
        <v>43027.0</v>
      </c>
      <c r="C189" s="194">
        <v>43035.0</v>
      </c>
      <c r="D189" s="195">
        <v>102062.0</v>
      </c>
      <c r="E189" s="59">
        <f>E188-72813.8</f>
        <v>157476.62</v>
      </c>
      <c r="F189" s="60"/>
      <c r="G189" s="50"/>
      <c r="H189" s="1"/>
      <c r="I189" s="1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50"/>
      <c r="B190" s="194">
        <v>43053.0</v>
      </c>
      <c r="C190" s="194">
        <v>43062.0</v>
      </c>
      <c r="D190" s="195">
        <v>102892.0</v>
      </c>
      <c r="E190" s="59">
        <f>E189-52790.45</f>
        <v>104686.17</v>
      </c>
      <c r="F190" s="60"/>
      <c r="G190" s="50"/>
      <c r="H190" s="1"/>
      <c r="I190" s="1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52" t="s">
        <v>796</v>
      </c>
      <c r="B191" s="53">
        <v>43010.0</v>
      </c>
      <c r="C191" s="54">
        <v>3950.0</v>
      </c>
      <c r="D191" s="52" t="s">
        <v>797</v>
      </c>
      <c r="E191" s="55">
        <v>45252.5</v>
      </c>
      <c r="F191" s="56"/>
      <c r="G191" s="52" t="s">
        <v>798</v>
      </c>
      <c r="H191" s="113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2.75" customHeight="1">
      <c r="A192" s="52" t="s">
        <v>796</v>
      </c>
      <c r="B192" s="53">
        <v>43010.0</v>
      </c>
      <c r="C192" s="54">
        <v>3950.0</v>
      </c>
      <c r="D192" s="52" t="s">
        <v>799</v>
      </c>
      <c r="E192" s="55">
        <v>38370.0</v>
      </c>
      <c r="F192" s="56"/>
      <c r="G192" s="52" t="s">
        <v>798</v>
      </c>
      <c r="H192" s="113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2.75" customHeight="1">
      <c r="A193" s="52" t="s">
        <v>796</v>
      </c>
      <c r="B193" s="53">
        <v>43010.0</v>
      </c>
      <c r="C193" s="54">
        <v>3950.0</v>
      </c>
      <c r="D193" s="52" t="s">
        <v>800</v>
      </c>
      <c r="E193" s="55">
        <v>36670.0</v>
      </c>
      <c r="F193" s="56"/>
      <c r="G193" s="52" t="s">
        <v>801</v>
      </c>
      <c r="H193" s="113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2.75" customHeight="1">
      <c r="A194" s="52" t="s">
        <v>796</v>
      </c>
      <c r="B194" s="53">
        <v>43010.0</v>
      </c>
      <c r="C194" s="54">
        <v>3950.0</v>
      </c>
      <c r="D194" s="52" t="s">
        <v>802</v>
      </c>
      <c r="E194" s="55">
        <v>38950.0</v>
      </c>
      <c r="F194" s="56"/>
      <c r="G194" s="52" t="s">
        <v>803</v>
      </c>
      <c r="H194" s="113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2.75" customHeight="1">
      <c r="A195" s="121"/>
      <c r="B195" s="139">
        <v>43047.0</v>
      </c>
      <c r="C195" s="156">
        <v>43060.0</v>
      </c>
      <c r="D195" s="121">
        <v>202.0</v>
      </c>
      <c r="E195" s="59">
        <f>E194-420</f>
        <v>38530</v>
      </c>
      <c r="F195" s="124"/>
      <c r="G195" s="121"/>
      <c r="H195" s="113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2.75" customHeight="1">
      <c r="A196" s="29" t="s">
        <v>107</v>
      </c>
      <c r="B196" s="31">
        <v>42828.0</v>
      </c>
      <c r="C196" s="32">
        <v>3950.0</v>
      </c>
      <c r="D196" s="29" t="s">
        <v>804</v>
      </c>
      <c r="E196" s="33">
        <v>210000.0</v>
      </c>
      <c r="F196" s="34"/>
      <c r="G196" s="29" t="s">
        <v>497</v>
      </c>
      <c r="H196" s="1"/>
      <c r="I196" s="15"/>
      <c r="J196" s="67"/>
      <c r="K196" s="67"/>
      <c r="L196" s="6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29"/>
      <c r="B197" s="119">
        <v>42864.0</v>
      </c>
      <c r="C197" s="119">
        <v>42874.0</v>
      </c>
      <c r="D197" s="120">
        <v>1162.0</v>
      </c>
      <c r="E197" s="33">
        <f>E196-52308.13</f>
        <v>157691.87</v>
      </c>
      <c r="F197" s="34"/>
      <c r="G197" s="29"/>
      <c r="H197" s="1"/>
      <c r="I197" s="51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2.75" customHeight="1">
      <c r="A198" s="29"/>
      <c r="B198" s="119">
        <v>42894.0</v>
      </c>
      <c r="C198" s="119">
        <v>42920.0</v>
      </c>
      <c r="D198" s="120">
        <v>1186.0</v>
      </c>
      <c r="E198" s="33">
        <f>E197-81378.72</f>
        <v>76313.15</v>
      </c>
      <c r="F198" s="34"/>
      <c r="G198" s="29"/>
      <c r="H198" s="1"/>
      <c r="I198" s="51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2.75" customHeight="1">
      <c r="A199" s="29"/>
      <c r="B199" s="119">
        <v>42928.0</v>
      </c>
      <c r="C199" s="119">
        <v>42944.0</v>
      </c>
      <c r="D199" s="120">
        <v>1209.0</v>
      </c>
      <c r="E199" s="33">
        <f>E198-76313.15</f>
        <v>0</v>
      </c>
      <c r="F199" s="34"/>
      <c r="G199" s="29"/>
      <c r="H199" s="1"/>
      <c r="I199" s="51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2.75" customHeight="1">
      <c r="A200" s="29" t="s">
        <v>107</v>
      </c>
      <c r="B200" s="31">
        <v>42867.0</v>
      </c>
      <c r="C200" s="32">
        <v>3950.0</v>
      </c>
      <c r="D200" s="29" t="s">
        <v>811</v>
      </c>
      <c r="E200" s="33">
        <v>90000.0</v>
      </c>
      <c r="F200" s="34"/>
      <c r="G200" s="29" t="s">
        <v>497</v>
      </c>
      <c r="H200" s="12"/>
      <c r="I200" s="104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2.75" customHeight="1">
      <c r="A201" s="29"/>
      <c r="B201" s="119">
        <v>42954.0</v>
      </c>
      <c r="C201" s="119">
        <v>42958.0</v>
      </c>
      <c r="D201" s="120">
        <v>1232.0</v>
      </c>
      <c r="E201" s="33">
        <f>E200-81378.72</f>
        <v>8621.28</v>
      </c>
      <c r="F201" s="34"/>
      <c r="G201" s="29"/>
      <c r="H201" s="12"/>
      <c r="I201" s="104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2.75" customHeight="1">
      <c r="A202" s="29"/>
      <c r="B202" s="119">
        <v>42989.0</v>
      </c>
      <c r="C202" s="119">
        <v>43000.0</v>
      </c>
      <c r="D202" s="120">
        <v>1260.0</v>
      </c>
      <c r="E202" s="33">
        <f>E201-E201</f>
        <v>0</v>
      </c>
      <c r="F202" s="34" t="s">
        <v>817</v>
      </c>
      <c r="G202" s="29"/>
      <c r="H202" s="12"/>
      <c r="I202" s="104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2.75" customHeight="1">
      <c r="A203" s="52" t="s">
        <v>107</v>
      </c>
      <c r="B203" s="53">
        <v>42935.0</v>
      </c>
      <c r="C203" s="54">
        <v>3950.0</v>
      </c>
      <c r="D203" s="52" t="s">
        <v>818</v>
      </c>
      <c r="E203" s="55">
        <v>300000.0</v>
      </c>
      <c r="F203" s="56"/>
      <c r="G203" s="52" t="s">
        <v>819</v>
      </c>
      <c r="H203" s="1" t="s">
        <v>13</v>
      </c>
      <c r="I203" s="15"/>
      <c r="J203" s="67"/>
      <c r="K203" s="67"/>
      <c r="L203" s="6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50"/>
      <c r="B204" s="122">
        <v>42928.0</v>
      </c>
      <c r="C204" s="122">
        <v>42944.0</v>
      </c>
      <c r="D204" s="123">
        <v>1209.0</v>
      </c>
      <c r="E204" s="59">
        <f>E203-2439.45</f>
        <v>297560.55</v>
      </c>
      <c r="F204" s="60"/>
      <c r="G204" s="50"/>
      <c r="H204" s="1"/>
      <c r="I204" s="51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2.75" customHeight="1">
      <c r="A205" s="50"/>
      <c r="B205" s="122">
        <v>42989.0</v>
      </c>
      <c r="C205" s="122">
        <v>43000.0</v>
      </c>
      <c r="D205" s="123">
        <v>1260.0</v>
      </c>
      <c r="E205" s="59">
        <f>E204-72757.44</f>
        <v>224803.11</v>
      </c>
      <c r="F205" s="60" t="s">
        <v>817</v>
      </c>
      <c r="G205" s="50"/>
      <c r="H205" s="1"/>
      <c r="I205" s="51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2.75" customHeight="1">
      <c r="A206" s="50"/>
      <c r="B206" s="122">
        <v>43024.0</v>
      </c>
      <c r="C206" s="122">
        <v>43033.0</v>
      </c>
      <c r="D206" s="123">
        <v>1278.0</v>
      </c>
      <c r="E206" s="59">
        <f>E205-78753.6</f>
        <v>146049.51</v>
      </c>
      <c r="F206" s="60"/>
      <c r="G206" s="50"/>
      <c r="H206" s="1"/>
      <c r="I206" s="51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2.75" customHeight="1">
      <c r="A207" s="50"/>
      <c r="B207" s="122">
        <v>43046.0</v>
      </c>
      <c r="C207" s="122">
        <v>43060.0</v>
      </c>
      <c r="D207" s="123">
        <v>1296.0</v>
      </c>
      <c r="E207" s="59">
        <f>E206-81378.72</f>
        <v>64670.79</v>
      </c>
      <c r="F207" s="60"/>
      <c r="G207" s="50"/>
      <c r="H207" s="1"/>
      <c r="I207" s="51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2.75" customHeight="1">
      <c r="A208" s="29" t="s">
        <v>107</v>
      </c>
      <c r="B208" s="31">
        <v>42828.0</v>
      </c>
      <c r="C208" s="32">
        <v>3950.0</v>
      </c>
      <c r="D208" s="29" t="s">
        <v>821</v>
      </c>
      <c r="E208" s="33">
        <v>106936.0</v>
      </c>
      <c r="F208" s="34"/>
      <c r="G208" s="29" t="s">
        <v>822</v>
      </c>
      <c r="H208" s="1"/>
      <c r="I208" s="15"/>
      <c r="J208" s="67"/>
      <c r="K208" s="67"/>
      <c r="L208" s="6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29"/>
      <c r="B209" s="119">
        <v>42835.0</v>
      </c>
      <c r="C209" s="32"/>
      <c r="D209" s="120">
        <v>1138.0</v>
      </c>
      <c r="E209" s="33">
        <f>E208-1221</f>
        <v>105715</v>
      </c>
      <c r="F209" s="34"/>
      <c r="G209" s="29"/>
      <c r="H209" s="1"/>
      <c r="I209" s="113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2.75" customHeight="1">
      <c r="A210" s="29"/>
      <c r="B210" s="119">
        <v>42864.0</v>
      </c>
      <c r="C210" s="119">
        <v>42874.0</v>
      </c>
      <c r="D210" s="120">
        <v>1161.0</v>
      </c>
      <c r="E210" s="33">
        <f>E209-53382</f>
        <v>52333</v>
      </c>
      <c r="F210" s="34"/>
      <c r="G210" s="29"/>
      <c r="H210" s="1"/>
      <c r="I210" s="113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2.75" customHeight="1">
      <c r="A211" s="29"/>
      <c r="B211" s="119">
        <v>42894.0</v>
      </c>
      <c r="C211" s="119">
        <v>42920.0</v>
      </c>
      <c r="D211" s="120">
        <v>1185.0</v>
      </c>
      <c r="E211" s="33">
        <f>E210-28098</f>
        <v>24235</v>
      </c>
      <c r="F211" s="34"/>
      <c r="G211" s="29"/>
      <c r="H211" s="1"/>
      <c r="I211" s="113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2.75" customHeight="1">
      <c r="A212" s="29"/>
      <c r="B212" s="119">
        <v>42928.0</v>
      </c>
      <c r="C212" s="119">
        <v>42944.0</v>
      </c>
      <c r="D212" s="120">
        <v>1208.0</v>
      </c>
      <c r="E212" s="33">
        <f>E211-24235</f>
        <v>0</v>
      </c>
      <c r="F212" s="34"/>
      <c r="G212" s="29"/>
      <c r="H212" s="1"/>
      <c r="I212" s="113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2.75" customHeight="1">
      <c r="A213" s="29" t="s">
        <v>107</v>
      </c>
      <c r="B213" s="31">
        <v>42935.0</v>
      </c>
      <c r="C213" s="32">
        <v>3950.0</v>
      </c>
      <c r="D213" s="29" t="s">
        <v>825</v>
      </c>
      <c r="E213" s="33">
        <v>106936.0</v>
      </c>
      <c r="F213" s="34"/>
      <c r="G213" s="29" t="s">
        <v>826</v>
      </c>
      <c r="H213" s="1"/>
      <c r="I213" s="15"/>
      <c r="J213" s="67"/>
      <c r="K213" s="67"/>
      <c r="L213" s="6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29"/>
      <c r="B214" s="119">
        <v>42928.0</v>
      </c>
      <c r="C214" s="119">
        <v>42944.0</v>
      </c>
      <c r="D214" s="120">
        <v>1208.0</v>
      </c>
      <c r="E214" s="33">
        <f>E213-14153</f>
        <v>92783</v>
      </c>
      <c r="F214" s="34"/>
      <c r="G214" s="29"/>
      <c r="H214" s="1"/>
      <c r="I214" s="113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2.75" customHeight="1">
      <c r="A215" s="29"/>
      <c r="B215" s="119">
        <v>42954.0</v>
      </c>
      <c r="C215" s="119">
        <v>42958.0</v>
      </c>
      <c r="D215" s="120">
        <v>1231.0</v>
      </c>
      <c r="E215" s="33">
        <f>E214-44100</f>
        <v>48683</v>
      </c>
      <c r="F215" s="34"/>
      <c r="G215" s="29"/>
      <c r="H215" s="1"/>
      <c r="I215" s="113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2.75" customHeight="1">
      <c r="A216" s="29"/>
      <c r="B216" s="119">
        <v>42989.0</v>
      </c>
      <c r="C216" s="119">
        <v>43000.0</v>
      </c>
      <c r="D216" s="120">
        <v>1259.0</v>
      </c>
      <c r="E216" s="33">
        <f>E215-44226</f>
        <v>4457</v>
      </c>
      <c r="F216" s="34" t="s">
        <v>828</v>
      </c>
      <c r="G216" s="29"/>
      <c r="H216" s="1"/>
      <c r="I216" s="113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2.75" customHeight="1">
      <c r="A217" s="29"/>
      <c r="B217" s="119">
        <v>43024.0</v>
      </c>
      <c r="C217" s="119">
        <v>43033.0</v>
      </c>
      <c r="D217" s="120">
        <v>1279.0</v>
      </c>
      <c r="E217" s="33">
        <f>E216-E216</f>
        <v>0</v>
      </c>
      <c r="F217" s="34"/>
      <c r="G217" s="29"/>
      <c r="H217" s="1"/>
      <c r="I217" s="113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2.75" customHeight="1">
      <c r="A218" s="52" t="s">
        <v>107</v>
      </c>
      <c r="B218" s="53">
        <v>42993.0</v>
      </c>
      <c r="C218" s="54">
        <v>3950.0</v>
      </c>
      <c r="D218" s="52" t="s">
        <v>829</v>
      </c>
      <c r="E218" s="55">
        <v>200000.0</v>
      </c>
      <c r="F218" s="56"/>
      <c r="G218" s="52" t="s">
        <v>830</v>
      </c>
      <c r="H218" s="1"/>
      <c r="I218" s="15"/>
      <c r="J218" s="67"/>
      <c r="K218" s="67"/>
      <c r="L218" s="6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21"/>
      <c r="B219" s="139">
        <v>43024.0</v>
      </c>
      <c r="C219" s="156">
        <v>43033.0</v>
      </c>
      <c r="D219" s="121">
        <v>1279.0</v>
      </c>
      <c r="E219" s="155">
        <f>E218-32755</f>
        <v>167245</v>
      </c>
      <c r="F219" s="124" t="s">
        <v>828</v>
      </c>
      <c r="G219" s="121"/>
      <c r="H219" s="67"/>
      <c r="I219" s="113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2.75" customHeight="1">
      <c r="A220" s="121"/>
      <c r="B220" s="139">
        <v>43046.0</v>
      </c>
      <c r="C220" s="156">
        <v>43060.0</v>
      </c>
      <c r="D220" s="121">
        <v>1297.0</v>
      </c>
      <c r="E220" s="155">
        <f>E219-39480</f>
        <v>127765</v>
      </c>
      <c r="F220" s="124"/>
      <c r="G220" s="121"/>
      <c r="H220" s="67"/>
      <c r="I220" s="113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2.75" customHeight="1">
      <c r="A221" s="52" t="s">
        <v>503</v>
      </c>
      <c r="B221" s="53">
        <v>42850.0</v>
      </c>
      <c r="C221" s="54">
        <v>3950.0</v>
      </c>
      <c r="D221" s="52" t="s">
        <v>832</v>
      </c>
      <c r="E221" s="55">
        <v>50000.0</v>
      </c>
      <c r="F221" s="56">
        <v>43204.0</v>
      </c>
      <c r="G221" s="52" t="s">
        <v>833</v>
      </c>
      <c r="H221" s="1"/>
      <c r="I221" s="15"/>
      <c r="J221" s="49"/>
      <c r="K221" s="49"/>
      <c r="L221" s="4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50"/>
      <c r="B222" s="122">
        <v>42837.0</v>
      </c>
      <c r="C222" s="58"/>
      <c r="D222" s="123">
        <v>2942.0</v>
      </c>
      <c r="E222" s="59">
        <f>E221-2630</f>
        <v>47370</v>
      </c>
      <c r="F222" s="60"/>
      <c r="G222" s="50"/>
      <c r="H222" s="1"/>
      <c r="I222" s="51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2.75" customHeight="1">
      <c r="A223" s="50"/>
      <c r="B223" s="122">
        <v>42905.0</v>
      </c>
      <c r="C223" s="122">
        <v>42920.0</v>
      </c>
      <c r="D223" s="123">
        <v>3052.0</v>
      </c>
      <c r="E223" s="59">
        <f>E222-10622.52</f>
        <v>36747.48</v>
      </c>
      <c r="F223" s="60"/>
      <c r="G223" s="50"/>
      <c r="H223" s="1"/>
      <c r="I223" s="51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2.75" customHeight="1">
      <c r="A224" s="50"/>
      <c r="B224" s="122">
        <v>42886.0</v>
      </c>
      <c r="C224" s="122">
        <v>42920.0</v>
      </c>
      <c r="D224" s="123">
        <v>3030.0</v>
      </c>
      <c r="E224" s="59">
        <f>E223-1052</f>
        <v>35695.48</v>
      </c>
      <c r="F224" s="60"/>
      <c r="G224" s="50"/>
      <c r="H224" s="1"/>
      <c r="I224" s="51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2.75" customHeight="1">
      <c r="A225" s="50"/>
      <c r="B225" s="122">
        <v>42921.0</v>
      </c>
      <c r="C225" s="122">
        <v>42948.0</v>
      </c>
      <c r="D225" s="123">
        <v>3078.0</v>
      </c>
      <c r="E225" s="59">
        <f>E224-1677.24</f>
        <v>34018.24</v>
      </c>
      <c r="F225" s="60"/>
      <c r="G225" s="50"/>
      <c r="H225" s="1"/>
      <c r="I225" s="51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2.75" customHeight="1">
      <c r="A226" s="50"/>
      <c r="B226" s="122">
        <v>42951.0</v>
      </c>
      <c r="C226" s="122">
        <v>42962.0</v>
      </c>
      <c r="D226" s="123">
        <v>3118.0</v>
      </c>
      <c r="E226" s="59">
        <f>E225-16772.7</f>
        <v>17245.54</v>
      </c>
      <c r="F226" s="60"/>
      <c r="G226" s="50"/>
      <c r="H226" s="1"/>
      <c r="I226" s="51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2.75" customHeight="1">
      <c r="A227" s="50"/>
      <c r="B227" s="122">
        <v>42983.0</v>
      </c>
      <c r="C227" s="122">
        <v>43003.0</v>
      </c>
      <c r="D227" s="123">
        <v>3164.0</v>
      </c>
      <c r="E227" s="59">
        <f>E226-10622.52</f>
        <v>6623.02</v>
      </c>
      <c r="F227" s="60"/>
      <c r="G227" s="50"/>
      <c r="H227" s="1"/>
      <c r="I227" s="51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2.75" customHeight="1">
      <c r="A228" s="50"/>
      <c r="B228" s="122">
        <v>43045.0</v>
      </c>
      <c r="C228" s="122">
        <v>43062.0</v>
      </c>
      <c r="D228" s="123">
        <v>3251.0</v>
      </c>
      <c r="E228" s="59">
        <f>E227-2795.4</f>
        <v>3827.62</v>
      </c>
      <c r="F228" s="60"/>
      <c r="G228" s="50"/>
      <c r="H228" s="1"/>
      <c r="I228" s="51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2.75" customHeight="1">
      <c r="A229" s="52" t="s">
        <v>503</v>
      </c>
      <c r="B229" s="53">
        <v>42965.0</v>
      </c>
      <c r="C229" s="54">
        <v>3950.0</v>
      </c>
      <c r="D229" s="52" t="s">
        <v>835</v>
      </c>
      <c r="E229" s="55">
        <v>54547.1</v>
      </c>
      <c r="F229" s="56">
        <v>43204.0</v>
      </c>
      <c r="G229" s="52" t="s">
        <v>836</v>
      </c>
      <c r="H229" s="1"/>
      <c r="I229" s="15"/>
      <c r="J229" s="49"/>
      <c r="K229" s="49"/>
      <c r="L229" s="4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29" t="s">
        <v>508</v>
      </c>
      <c r="B230" s="31">
        <v>42867.0</v>
      </c>
      <c r="C230" s="29">
        <v>3036.0</v>
      </c>
      <c r="D230" s="29" t="s">
        <v>837</v>
      </c>
      <c r="E230" s="33">
        <v>222.0</v>
      </c>
      <c r="F230" s="34"/>
      <c r="G230" s="29" t="s">
        <v>760</v>
      </c>
      <c r="H230" s="113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ht="12.75" customHeight="1">
      <c r="A231" s="29"/>
      <c r="B231" s="119">
        <v>43025.0</v>
      </c>
      <c r="C231" s="119">
        <v>43045.0</v>
      </c>
      <c r="D231" s="120">
        <v>101585.0</v>
      </c>
      <c r="E231" s="33">
        <f>E230-222</f>
        <v>0</v>
      </c>
      <c r="F231" s="34"/>
      <c r="G231" s="29"/>
      <c r="H231" s="1"/>
      <c r="I231" s="51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2.75" customHeight="1">
      <c r="A232" s="52" t="s">
        <v>838</v>
      </c>
      <c r="B232" s="53">
        <v>42979.0</v>
      </c>
      <c r="C232" s="52">
        <v>3007.0</v>
      </c>
      <c r="D232" s="52" t="s">
        <v>839</v>
      </c>
      <c r="E232" s="55">
        <v>19958.24</v>
      </c>
      <c r="F232" s="56">
        <v>43341.0</v>
      </c>
      <c r="G232" s="52" t="s">
        <v>841</v>
      </c>
      <c r="H232" s="113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ht="12.75" customHeight="1">
      <c r="A233" s="121"/>
      <c r="B233" s="139">
        <v>43024.0</v>
      </c>
      <c r="C233" s="140">
        <v>43038.0</v>
      </c>
      <c r="D233" s="121">
        <v>983.0</v>
      </c>
      <c r="E233" s="59">
        <f>E232-82.5</f>
        <v>19875.74</v>
      </c>
      <c r="F233" s="124"/>
      <c r="G233" s="121"/>
      <c r="H233" s="113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ht="12.75" customHeight="1">
      <c r="A234" s="121"/>
      <c r="B234" s="139">
        <v>43019.0</v>
      </c>
      <c r="C234" s="140">
        <v>43038.0</v>
      </c>
      <c r="D234" s="121">
        <v>978.0</v>
      </c>
      <c r="E234" s="59">
        <f>E233-2720.79</f>
        <v>17154.95</v>
      </c>
      <c r="F234" s="124"/>
      <c r="G234" s="121"/>
      <c r="H234" s="113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ht="12.75" customHeight="1">
      <c r="A235" s="52" t="s">
        <v>838</v>
      </c>
      <c r="B235" s="53">
        <v>43040.0</v>
      </c>
      <c r="C235" s="52">
        <v>3007.0</v>
      </c>
      <c r="D235" s="52" t="s">
        <v>842</v>
      </c>
      <c r="E235" s="55">
        <v>1206.0</v>
      </c>
      <c r="F235" s="56">
        <v>43388.0</v>
      </c>
      <c r="G235" s="52" t="s">
        <v>843</v>
      </c>
      <c r="H235" s="113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2.75" customHeight="1">
      <c r="A236" s="29" t="s">
        <v>844</v>
      </c>
      <c r="B236" s="31">
        <v>42835.0</v>
      </c>
      <c r="C236" s="29">
        <v>3022.0</v>
      </c>
      <c r="D236" s="29" t="s">
        <v>845</v>
      </c>
      <c r="E236" s="33">
        <v>3093.5</v>
      </c>
      <c r="F236" s="34"/>
      <c r="G236" s="29" t="s">
        <v>846</v>
      </c>
      <c r="H236" s="113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2.75" customHeight="1">
      <c r="A237" s="29"/>
      <c r="B237" s="119">
        <v>42919.0</v>
      </c>
      <c r="C237" s="119">
        <v>42948.0</v>
      </c>
      <c r="D237" s="120">
        <v>5057.0</v>
      </c>
      <c r="E237" s="33">
        <f>E236-347.5</f>
        <v>2746</v>
      </c>
      <c r="F237" s="34"/>
      <c r="G237" s="29"/>
      <c r="H237" s="1"/>
      <c r="I237" s="51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2.75" customHeight="1">
      <c r="A238" s="29"/>
      <c r="B238" s="119">
        <v>42919.0</v>
      </c>
      <c r="C238" s="119">
        <v>42948.0</v>
      </c>
      <c r="D238" s="120">
        <v>5056.0</v>
      </c>
      <c r="E238" s="33">
        <f>E237-1559.25</f>
        <v>1186.75</v>
      </c>
      <c r="F238" s="34"/>
      <c r="G238" s="29"/>
      <c r="H238" s="1"/>
      <c r="I238" s="51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2.75" customHeight="1">
      <c r="A239" s="29"/>
      <c r="B239" s="119">
        <v>42930.0</v>
      </c>
      <c r="C239" s="119">
        <v>42948.0</v>
      </c>
      <c r="D239" s="120">
        <v>5248.0</v>
      </c>
      <c r="E239" s="33">
        <f>E238-1186.75</f>
        <v>0</v>
      </c>
      <c r="F239" s="34"/>
      <c r="G239" s="29"/>
      <c r="H239" s="1"/>
      <c r="I239" s="51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2.75" customHeight="1">
      <c r="A240" s="29" t="s">
        <v>844</v>
      </c>
      <c r="B240" s="31">
        <v>42908.0</v>
      </c>
      <c r="C240" s="29">
        <v>3016.0</v>
      </c>
      <c r="D240" s="29" t="s">
        <v>848</v>
      </c>
      <c r="E240" s="33">
        <v>7185.0</v>
      </c>
      <c r="F240" s="34"/>
      <c r="G240" s="29" t="s">
        <v>590</v>
      </c>
      <c r="H240" s="10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2.75" customHeight="1">
      <c r="A241" s="29"/>
      <c r="B241" s="31">
        <v>42957.0</v>
      </c>
      <c r="C241" s="148">
        <v>42978.0</v>
      </c>
      <c r="D241" s="29">
        <v>5513.0</v>
      </c>
      <c r="E241" s="33">
        <f>E240-E240</f>
        <v>0</v>
      </c>
      <c r="F241" s="34"/>
      <c r="G241" s="29"/>
      <c r="H241" s="10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2.75" customHeight="1">
      <c r="A242" s="44" t="s">
        <v>849</v>
      </c>
      <c r="B242" s="45">
        <v>42856.0</v>
      </c>
      <c r="C242" s="44">
        <v>3007.0</v>
      </c>
      <c r="D242" s="44" t="s">
        <v>850</v>
      </c>
      <c r="E242" s="47">
        <v>7843.2</v>
      </c>
      <c r="F242" s="48">
        <v>43010.0</v>
      </c>
      <c r="G242" s="44" t="s">
        <v>851</v>
      </c>
      <c r="H242" s="30" t="s">
        <v>22</v>
      </c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ht="12.75" customHeight="1">
      <c r="A243" s="29" t="s">
        <v>849</v>
      </c>
      <c r="B243" s="31">
        <v>42835.0</v>
      </c>
      <c r="C243" s="29">
        <v>3022.0</v>
      </c>
      <c r="D243" s="29" t="s">
        <v>852</v>
      </c>
      <c r="E243" s="33">
        <v>6684.04</v>
      </c>
      <c r="F243" s="34"/>
      <c r="G243" s="29" t="s">
        <v>846</v>
      </c>
      <c r="H243" s="113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ht="12.75" customHeight="1">
      <c r="A244" s="29"/>
      <c r="B244" s="119">
        <v>42908.0</v>
      </c>
      <c r="C244" s="119">
        <v>42933.0</v>
      </c>
      <c r="D244" s="120">
        <v>753.0</v>
      </c>
      <c r="E244" s="33">
        <f>E243-322.92</f>
        <v>6361.12</v>
      </c>
      <c r="F244" s="34"/>
      <c r="G244" s="29"/>
      <c r="H244" s="1"/>
      <c r="I244" s="51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2.75" customHeight="1">
      <c r="A245" s="29"/>
      <c r="B245" s="119">
        <v>42915.0</v>
      </c>
      <c r="C245" s="119">
        <v>42933.0</v>
      </c>
      <c r="D245" s="120">
        <v>784.0</v>
      </c>
      <c r="E245" s="33">
        <f>E244-200</f>
        <v>6161.12</v>
      </c>
      <c r="F245" s="34"/>
      <c r="G245" s="29"/>
      <c r="H245" s="1"/>
      <c r="I245" s="51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2.75" customHeight="1">
      <c r="A246" s="29"/>
      <c r="B246" s="119">
        <v>42915.0</v>
      </c>
      <c r="C246" s="119">
        <v>42933.0</v>
      </c>
      <c r="D246" s="120">
        <v>785.0</v>
      </c>
      <c r="E246" s="33">
        <f>E245-532</f>
        <v>5629.12</v>
      </c>
      <c r="F246" s="34"/>
      <c r="G246" s="29"/>
      <c r="H246" s="1"/>
      <c r="I246" s="51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2.75" customHeight="1">
      <c r="A247" s="29"/>
      <c r="B247" s="119">
        <v>42928.0</v>
      </c>
      <c r="C247" s="119">
        <v>42933.0</v>
      </c>
      <c r="D247" s="120">
        <v>820.0</v>
      </c>
      <c r="E247" s="33">
        <f>E246-5629.12</f>
        <v>0</v>
      </c>
      <c r="F247" s="34"/>
      <c r="G247" s="29"/>
      <c r="H247" s="1"/>
      <c r="I247" s="51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2.75" customHeight="1">
      <c r="A248" s="210" t="s">
        <v>127</v>
      </c>
      <c r="B248" s="211">
        <v>42828.0</v>
      </c>
      <c r="C248" s="210">
        <v>3917.0</v>
      </c>
      <c r="D248" s="210" t="s">
        <v>855</v>
      </c>
      <c r="E248" s="212">
        <v>83769.99</v>
      </c>
      <c r="F248" s="213">
        <v>42988.0</v>
      </c>
      <c r="G248" s="210" t="s">
        <v>856</v>
      </c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</row>
    <row r="249" ht="12.75" customHeight="1">
      <c r="A249" s="210"/>
      <c r="B249" s="217">
        <v>42793.0</v>
      </c>
      <c r="C249" s="218"/>
      <c r="D249" s="219">
        <v>176.0</v>
      </c>
      <c r="E249" s="212">
        <f>E248-7199.12</f>
        <v>76570.87</v>
      </c>
      <c r="F249" s="210"/>
      <c r="G249" s="210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</row>
    <row r="250" ht="12.75" customHeight="1">
      <c r="A250" s="210"/>
      <c r="B250" s="217">
        <v>42857.0</v>
      </c>
      <c r="C250" s="218"/>
      <c r="D250" s="219">
        <v>983.0</v>
      </c>
      <c r="E250" s="212">
        <f t="shared" ref="E250:E254" si="4">E249-15314.16</f>
        <v>61256.71</v>
      </c>
      <c r="F250" s="210"/>
      <c r="G250" s="210"/>
      <c r="H250" s="222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</row>
    <row r="251" ht="12.75" customHeight="1">
      <c r="A251" s="210"/>
      <c r="B251" s="217">
        <v>42887.0</v>
      </c>
      <c r="C251" s="217">
        <v>42891.0</v>
      </c>
      <c r="D251" s="219">
        <v>990.0</v>
      </c>
      <c r="E251" s="212">
        <f t="shared" si="4"/>
        <v>45942.55</v>
      </c>
      <c r="F251" s="210"/>
      <c r="G251" s="210"/>
      <c r="H251" s="222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</row>
    <row r="252" ht="12.75" customHeight="1">
      <c r="A252" s="210"/>
      <c r="B252" s="217">
        <v>42919.0</v>
      </c>
      <c r="C252" s="217">
        <v>42926.0</v>
      </c>
      <c r="D252" s="219">
        <v>994.0</v>
      </c>
      <c r="E252" s="212">
        <f t="shared" si="4"/>
        <v>30628.39</v>
      </c>
      <c r="F252" s="210"/>
      <c r="G252" s="210"/>
      <c r="H252" s="222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</row>
    <row r="253" ht="12.75" customHeight="1">
      <c r="A253" s="210"/>
      <c r="B253" s="217">
        <v>42948.0</v>
      </c>
      <c r="C253" s="217">
        <v>42978.0</v>
      </c>
      <c r="D253" s="219">
        <v>1000.0</v>
      </c>
      <c r="E253" s="212">
        <f t="shared" si="4"/>
        <v>15314.23</v>
      </c>
      <c r="F253" s="210"/>
      <c r="G253" s="210"/>
      <c r="H253" s="222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</row>
    <row r="254" ht="12.75" customHeight="1">
      <c r="A254" s="210"/>
      <c r="B254" s="217">
        <v>42979.0</v>
      </c>
      <c r="C254" s="217">
        <v>42983.0</v>
      </c>
      <c r="D254" s="219">
        <v>1003.0</v>
      </c>
      <c r="E254" s="212">
        <f t="shared" si="4"/>
        <v>0.07</v>
      </c>
      <c r="F254" s="210"/>
      <c r="G254" s="210"/>
      <c r="H254" s="222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</row>
    <row r="255" ht="12.75" customHeight="1">
      <c r="A255" s="52" t="s">
        <v>127</v>
      </c>
      <c r="B255" s="53">
        <v>42989.0</v>
      </c>
      <c r="C255" s="52">
        <v>3917.0</v>
      </c>
      <c r="D255" s="52" t="s">
        <v>860</v>
      </c>
      <c r="E255" s="55">
        <v>63000.0</v>
      </c>
      <c r="F255" s="56">
        <v>43353.0</v>
      </c>
      <c r="G255" s="52" t="s">
        <v>861</v>
      </c>
      <c r="H255" s="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121"/>
      <c r="B256" s="139">
        <v>43010.0</v>
      </c>
      <c r="C256" s="140">
        <v>43026.0</v>
      </c>
      <c r="D256" s="121">
        <v>1011.0</v>
      </c>
      <c r="E256" s="59">
        <f>E255-15575.16</f>
        <v>47424.84</v>
      </c>
      <c r="F256" s="124"/>
      <c r="G256" s="121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ht="12.75" customHeight="1">
      <c r="A257" s="121"/>
      <c r="B257" s="139">
        <v>43040.0</v>
      </c>
      <c r="C257" s="140">
        <v>43047.0</v>
      </c>
      <c r="D257" s="121">
        <v>1015.0</v>
      </c>
      <c r="E257" s="59">
        <f>E256-15705.67</f>
        <v>31719.17</v>
      </c>
      <c r="F257" s="124"/>
      <c r="G257" s="121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ht="12.75" customHeight="1">
      <c r="A258" s="29" t="s">
        <v>120</v>
      </c>
      <c r="B258" s="31">
        <v>42828.0</v>
      </c>
      <c r="C258" s="32">
        <v>3950.0</v>
      </c>
      <c r="D258" s="29" t="s">
        <v>862</v>
      </c>
      <c r="E258" s="33">
        <v>180000.0</v>
      </c>
      <c r="F258" s="34">
        <v>43076.0</v>
      </c>
      <c r="G258" s="29" t="s">
        <v>863</v>
      </c>
      <c r="H258" s="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29"/>
      <c r="B259" s="41">
        <v>42793.0</v>
      </c>
      <c r="C259" s="32"/>
      <c r="D259" s="42">
        <v>176.0</v>
      </c>
      <c r="E259" s="33">
        <f>E258-69890.38</f>
        <v>110109.62</v>
      </c>
      <c r="F259" s="29"/>
      <c r="G259" s="29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ht="12.75" customHeight="1">
      <c r="A260" s="29"/>
      <c r="B260" s="41">
        <v>42836.0</v>
      </c>
      <c r="C260" s="32"/>
      <c r="D260" s="42">
        <v>184.0</v>
      </c>
      <c r="E260" s="33">
        <f>E259-74400</f>
        <v>35709.62</v>
      </c>
      <c r="F260" s="29"/>
      <c r="G260" s="29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ht="12.75" customHeight="1">
      <c r="A261" s="29"/>
      <c r="B261" s="41">
        <v>42867.0</v>
      </c>
      <c r="C261" s="34">
        <v>42874.0</v>
      </c>
      <c r="D261" s="42">
        <v>193.0</v>
      </c>
      <c r="E261" s="33">
        <f>E260-35709.62</f>
        <v>0</v>
      </c>
      <c r="F261" s="29"/>
      <c r="G261" s="29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ht="12.75" customHeight="1">
      <c r="A262" s="29" t="s">
        <v>120</v>
      </c>
      <c r="B262" s="31">
        <v>42850.0</v>
      </c>
      <c r="C262" s="32">
        <v>3950.0</v>
      </c>
      <c r="D262" s="29" t="s">
        <v>869</v>
      </c>
      <c r="E262" s="33">
        <v>100000.0</v>
      </c>
      <c r="F262" s="34">
        <v>43076.0</v>
      </c>
      <c r="G262" s="29" t="s">
        <v>863</v>
      </c>
      <c r="H262" s="1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29"/>
      <c r="B263" s="41">
        <v>42867.0</v>
      </c>
      <c r="C263" s="34">
        <v>42874.0</v>
      </c>
      <c r="D263" s="42">
        <v>193.0</v>
      </c>
      <c r="E263" s="33">
        <f>E262-36290.38</f>
        <v>63709.62</v>
      </c>
      <c r="F263" s="29"/>
      <c r="G263" s="29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ht="12.75" customHeight="1">
      <c r="A264" s="29"/>
      <c r="B264" s="41">
        <v>42899.0</v>
      </c>
      <c r="C264" s="34">
        <v>42920.0</v>
      </c>
      <c r="D264" s="42">
        <v>197.0</v>
      </c>
      <c r="E264" s="33">
        <f>E263-63709.62</f>
        <v>0</v>
      </c>
      <c r="F264" s="29"/>
      <c r="G264" s="29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ht="12.75" customHeight="1">
      <c r="A265" s="29" t="s">
        <v>120</v>
      </c>
      <c r="B265" s="31">
        <v>42867.0</v>
      </c>
      <c r="C265" s="32">
        <v>3950.0</v>
      </c>
      <c r="D265" s="29" t="s">
        <v>872</v>
      </c>
      <c r="E265" s="33">
        <v>185000.0</v>
      </c>
      <c r="F265" s="34">
        <v>43076.0</v>
      </c>
      <c r="G265" s="29" t="s">
        <v>863</v>
      </c>
      <c r="H265" s="19" t="s">
        <v>13</v>
      </c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29"/>
      <c r="B266" s="41">
        <v>42899.0</v>
      </c>
      <c r="C266" s="34">
        <v>42920.0</v>
      </c>
      <c r="D266" s="42">
        <v>197.0</v>
      </c>
      <c r="E266" s="33">
        <f>E265-13090.38</f>
        <v>171909.62</v>
      </c>
      <c r="F266" s="29"/>
      <c r="G266" s="29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ht="12.75" customHeight="1">
      <c r="A267" s="29"/>
      <c r="B267" s="41">
        <v>42923.0</v>
      </c>
      <c r="C267" s="34">
        <v>42944.0</v>
      </c>
      <c r="D267" s="42">
        <v>200.0</v>
      </c>
      <c r="E267" s="33">
        <f>E266-76800</f>
        <v>95109.62</v>
      </c>
      <c r="F267" s="29"/>
      <c r="G267" s="29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ht="12.75" customHeight="1">
      <c r="A268" s="29"/>
      <c r="B268" s="41">
        <v>42959.0</v>
      </c>
      <c r="C268" s="34">
        <v>42971.0</v>
      </c>
      <c r="D268" s="42">
        <v>203.0</v>
      </c>
      <c r="E268" s="33">
        <f>E267-79200</f>
        <v>15909.62</v>
      </c>
      <c r="F268" s="29"/>
      <c r="G268" s="29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ht="12.75" customHeight="1">
      <c r="A269" s="29"/>
      <c r="B269" s="41">
        <v>42989.0</v>
      </c>
      <c r="C269" s="34">
        <v>42999.0</v>
      </c>
      <c r="D269" s="42">
        <v>210.0</v>
      </c>
      <c r="E269" s="33">
        <f>E268-15909.62</f>
        <v>0</v>
      </c>
      <c r="F269" s="29"/>
      <c r="G269" s="29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ht="12.75" customHeight="1">
      <c r="A270" s="52" t="s">
        <v>120</v>
      </c>
      <c r="B270" s="53">
        <v>42965.0</v>
      </c>
      <c r="C270" s="54">
        <v>3950.0</v>
      </c>
      <c r="D270" s="52" t="s">
        <v>875</v>
      </c>
      <c r="E270" s="55">
        <v>373000.0</v>
      </c>
      <c r="F270" s="56">
        <v>43076.0</v>
      </c>
      <c r="G270" s="52" t="s">
        <v>863</v>
      </c>
      <c r="H270" s="19" t="s">
        <v>13</v>
      </c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121"/>
      <c r="B271" s="227">
        <v>42989.0</v>
      </c>
      <c r="C271" s="124">
        <v>42999.0</v>
      </c>
      <c r="D271" s="255">
        <v>210.0</v>
      </c>
      <c r="E271" s="59">
        <f>E270-64490.38</f>
        <v>308509.62</v>
      </c>
      <c r="F271" s="121"/>
      <c r="G271" s="121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ht="12.75" customHeight="1">
      <c r="A272" s="121"/>
      <c r="B272" s="227">
        <v>43013.0</v>
      </c>
      <c r="C272" s="124">
        <v>43033.0</v>
      </c>
      <c r="D272" s="255">
        <v>217.0</v>
      </c>
      <c r="E272" s="59">
        <f>E271-76800</f>
        <v>231709.62</v>
      </c>
      <c r="F272" s="121"/>
      <c r="G272" s="121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ht="12.75" customHeight="1">
      <c r="A273" s="121"/>
      <c r="B273" s="227">
        <v>43053.0</v>
      </c>
      <c r="C273" s="124">
        <v>43060.0</v>
      </c>
      <c r="D273" s="255">
        <v>218.0</v>
      </c>
      <c r="E273" s="59">
        <f>E272-78000</f>
        <v>153709.62</v>
      </c>
      <c r="F273" s="121"/>
      <c r="G273" s="121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ht="12.75" customHeight="1">
      <c r="A274" s="29" t="s">
        <v>956</v>
      </c>
      <c r="B274" s="31">
        <v>42748.0</v>
      </c>
      <c r="C274" s="32">
        <v>3028.0</v>
      </c>
      <c r="D274" s="29" t="s">
        <v>957</v>
      </c>
      <c r="E274" s="33">
        <v>14.56</v>
      </c>
      <c r="F274" s="34">
        <v>43018.0</v>
      </c>
      <c r="G274" s="29" t="s">
        <v>958</v>
      </c>
      <c r="H274" s="10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2.75" customHeight="1">
      <c r="A275" s="29"/>
      <c r="B275" s="31">
        <v>42990.0</v>
      </c>
      <c r="C275" s="109">
        <v>43000.0</v>
      </c>
      <c r="D275" s="29">
        <v>5724.0</v>
      </c>
      <c r="E275" s="33">
        <f>E274-14.56</f>
        <v>0</v>
      </c>
      <c r="F275" s="34"/>
      <c r="G275" s="29"/>
      <c r="H275" s="10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2.75" customHeight="1">
      <c r="A276" s="29" t="s">
        <v>140</v>
      </c>
      <c r="B276" s="31">
        <v>42779.0</v>
      </c>
      <c r="C276" s="32">
        <v>3701.0</v>
      </c>
      <c r="D276" s="29" t="s">
        <v>959</v>
      </c>
      <c r="E276" s="33">
        <v>80000.0</v>
      </c>
      <c r="F276" s="34">
        <v>42895.0</v>
      </c>
      <c r="G276" s="29" t="s">
        <v>960</v>
      </c>
      <c r="H276" s="113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ht="12.75" customHeight="1">
      <c r="A277" s="29"/>
      <c r="B277" s="130">
        <v>42828.0</v>
      </c>
      <c r="C277" s="29"/>
      <c r="D277" s="135">
        <v>18404.0</v>
      </c>
      <c r="E277" s="33">
        <f>E276-75382.41</f>
        <v>4617.59</v>
      </c>
      <c r="F277" s="34"/>
      <c r="G277" s="29"/>
      <c r="H277" s="113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ht="12.75" customHeight="1">
      <c r="A278" s="29"/>
      <c r="B278" s="130">
        <v>42858.0</v>
      </c>
      <c r="C278" s="29"/>
      <c r="D278" s="135">
        <v>18853.0</v>
      </c>
      <c r="E278" s="33">
        <f>E277-4617.59</f>
        <v>0</v>
      </c>
      <c r="F278" s="34"/>
      <c r="G278" s="29"/>
      <c r="H278" s="113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ht="12.75" customHeight="1">
      <c r="A279" s="29" t="s">
        <v>140</v>
      </c>
      <c r="B279" s="31">
        <v>42828.0</v>
      </c>
      <c r="C279" s="32">
        <v>3701.0</v>
      </c>
      <c r="D279" s="29" t="s">
        <v>961</v>
      </c>
      <c r="E279" s="33">
        <v>574793.62</v>
      </c>
      <c r="F279" s="34">
        <v>42895.0</v>
      </c>
      <c r="G279" s="29" t="s">
        <v>960</v>
      </c>
      <c r="H279" s="10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2.75" customHeight="1">
      <c r="A280" s="29"/>
      <c r="B280" s="130">
        <v>42858.0</v>
      </c>
      <c r="C280" s="130">
        <v>42870.0</v>
      </c>
      <c r="D280" s="135">
        <v>18853.0</v>
      </c>
      <c r="E280" s="33">
        <f>E279-285088.03</f>
        <v>289705.59</v>
      </c>
      <c r="F280" s="34"/>
      <c r="G280" s="29"/>
      <c r="H280" s="10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2.75" customHeight="1">
      <c r="A281" s="29"/>
      <c r="B281" s="130">
        <v>42887.0</v>
      </c>
      <c r="C281" s="130">
        <v>42892.0</v>
      </c>
      <c r="D281" s="135">
        <v>19271.0</v>
      </c>
      <c r="E281" s="33">
        <f>E280-289705.62</f>
        <v>-0.03000000003</v>
      </c>
      <c r="F281" s="34"/>
      <c r="G281" s="29"/>
      <c r="H281" s="10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2.75" customHeight="1">
      <c r="A282" s="52" t="s">
        <v>140</v>
      </c>
      <c r="B282" s="53">
        <v>42936.0</v>
      </c>
      <c r="C282" s="54">
        <v>3701.0</v>
      </c>
      <c r="D282" s="52" t="s">
        <v>962</v>
      </c>
      <c r="E282" s="55">
        <v>1738233.72</v>
      </c>
      <c r="F282" s="56">
        <v>43260.0</v>
      </c>
      <c r="G282" s="52" t="s">
        <v>963</v>
      </c>
      <c r="H282" s="113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ht="12.75" customHeight="1">
      <c r="A283" s="121"/>
      <c r="B283" s="256">
        <v>42948.0</v>
      </c>
      <c r="C283" s="256">
        <v>42955.0</v>
      </c>
      <c r="D283" s="257">
        <v>20220.0</v>
      </c>
      <c r="E283" s="59">
        <f t="shared" ref="E283:E285" si="5">E282-289705.62</f>
        <v>1448528.1</v>
      </c>
      <c r="F283" s="124"/>
      <c r="G283" s="121"/>
      <c r="H283" s="113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ht="12.75" customHeight="1">
      <c r="A284" s="121"/>
      <c r="B284" s="256">
        <v>42979.0</v>
      </c>
      <c r="C284" s="256">
        <v>42991.0</v>
      </c>
      <c r="D284" s="257">
        <v>20651.0</v>
      </c>
      <c r="E284" s="59">
        <f t="shared" si="5"/>
        <v>1158822.48</v>
      </c>
      <c r="F284" s="124"/>
      <c r="G284" s="121"/>
      <c r="H284" s="113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ht="12.75" customHeight="1">
      <c r="A285" s="121"/>
      <c r="B285" s="256">
        <v>43010.0</v>
      </c>
      <c r="C285" s="256">
        <v>43019.0</v>
      </c>
      <c r="D285" s="257">
        <v>21115.0</v>
      </c>
      <c r="E285" s="59">
        <f t="shared" si="5"/>
        <v>869116.86</v>
      </c>
      <c r="F285" s="124"/>
      <c r="G285" s="121"/>
      <c r="H285" s="113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ht="12.75" customHeight="1">
      <c r="A286" s="121"/>
      <c r="B286" s="256">
        <v>43047.0</v>
      </c>
      <c r="C286" s="256">
        <v>43062.0</v>
      </c>
      <c r="D286" s="257">
        <v>21576.0</v>
      </c>
      <c r="E286" s="59">
        <f>E285-311897.07</f>
        <v>557219.79</v>
      </c>
      <c r="F286" s="124"/>
      <c r="G286" s="121"/>
      <c r="H286" s="113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ht="12.75" customHeight="1">
      <c r="A287" s="121"/>
      <c r="B287" s="256">
        <v>43047.0</v>
      </c>
      <c r="C287" s="256">
        <v>43062.0</v>
      </c>
      <c r="D287" s="257">
        <v>21577.0</v>
      </c>
      <c r="E287" s="59">
        <f>E286-177531.6</f>
        <v>379688.19</v>
      </c>
      <c r="F287" s="124"/>
      <c r="G287" s="121"/>
      <c r="H287" s="113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ht="12.75" customHeight="1">
      <c r="A288" s="52" t="s">
        <v>140</v>
      </c>
      <c r="B288" s="53">
        <v>43018.0</v>
      </c>
      <c r="C288" s="54">
        <v>3701.0</v>
      </c>
      <c r="D288" s="52" t="s">
        <v>964</v>
      </c>
      <c r="E288" s="55">
        <v>579411.66</v>
      </c>
      <c r="F288" s="56">
        <v>43260.0</v>
      </c>
      <c r="G288" s="52" t="s">
        <v>965</v>
      </c>
      <c r="H288" s="113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ht="12.75" customHeight="1">
      <c r="A289" s="29" t="s">
        <v>543</v>
      </c>
      <c r="B289" s="31">
        <v>42864.0</v>
      </c>
      <c r="C289" s="29">
        <v>3036.0</v>
      </c>
      <c r="D289" s="29" t="s">
        <v>966</v>
      </c>
      <c r="E289" s="33">
        <v>11587.0</v>
      </c>
      <c r="F289" s="34"/>
      <c r="G289" s="29" t="s">
        <v>967</v>
      </c>
      <c r="H289" s="10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2.75" customHeight="1">
      <c r="A290" s="29"/>
      <c r="B290" s="130">
        <v>42965.0</v>
      </c>
      <c r="C290" s="130">
        <v>42978.0</v>
      </c>
      <c r="D290" s="135">
        <v>341032.0</v>
      </c>
      <c r="E290" s="33">
        <f>E289-11587</f>
        <v>0</v>
      </c>
      <c r="F290" s="34"/>
      <c r="G290" s="29"/>
      <c r="H290" s="10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2.75" customHeight="1">
      <c r="A291" s="52" t="s">
        <v>968</v>
      </c>
      <c r="B291" s="53">
        <v>43009.0</v>
      </c>
      <c r="C291" s="52">
        <v>3036.0</v>
      </c>
      <c r="D291" s="52" t="s">
        <v>969</v>
      </c>
      <c r="E291" s="55">
        <v>11795.52</v>
      </c>
      <c r="F291" s="56">
        <v>43371.0</v>
      </c>
      <c r="G291" s="52" t="s">
        <v>970</v>
      </c>
      <c r="H291" s="113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ht="12.75" customHeight="1">
      <c r="A292" s="121"/>
      <c r="B292" s="139">
        <v>43061.0</v>
      </c>
      <c r="C292" s="140">
        <v>43062.0</v>
      </c>
      <c r="D292" s="121">
        <v>2487.0</v>
      </c>
      <c r="E292" s="59">
        <f>E291-1432.32</f>
        <v>10363.2</v>
      </c>
      <c r="F292" s="124"/>
      <c r="G292" s="121"/>
      <c r="H292" s="113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ht="12.75" customHeight="1">
      <c r="A293" s="52" t="s">
        <v>968</v>
      </c>
      <c r="B293" s="53">
        <v>43052.0</v>
      </c>
      <c r="C293" s="52">
        <v>3036.0</v>
      </c>
      <c r="D293" s="52" t="s">
        <v>971</v>
      </c>
      <c r="E293" s="55">
        <v>450.0</v>
      </c>
      <c r="F293" s="56"/>
      <c r="G293" s="52" t="s">
        <v>642</v>
      </c>
      <c r="H293" s="85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2.75" customHeight="1">
      <c r="A294" s="52" t="s">
        <v>552</v>
      </c>
      <c r="B294" s="53">
        <v>42779.0</v>
      </c>
      <c r="C294" s="54">
        <v>3950.0</v>
      </c>
      <c r="D294" s="52" t="s">
        <v>972</v>
      </c>
      <c r="E294" s="55">
        <v>45000.0</v>
      </c>
      <c r="F294" s="56"/>
      <c r="G294" s="52" t="s">
        <v>973</v>
      </c>
      <c r="H294" s="19" t="s">
        <v>13</v>
      </c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ht="12.75" customHeight="1">
      <c r="A295" s="121"/>
      <c r="B295" s="256">
        <v>42811.0</v>
      </c>
      <c r="C295" s="121"/>
      <c r="D295" s="257">
        <v>1501.0</v>
      </c>
      <c r="E295" s="59">
        <f>E294-30699.61</f>
        <v>14300.39</v>
      </c>
      <c r="F295" s="124"/>
      <c r="G295" s="121"/>
      <c r="H295" s="113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ht="12.75" customHeight="1">
      <c r="A296" s="50"/>
      <c r="B296" s="153">
        <v>42844.0</v>
      </c>
      <c r="C296" s="153">
        <v>42871.0</v>
      </c>
      <c r="D296" s="154">
        <v>1544.0</v>
      </c>
      <c r="E296" s="47">
        <f>E295-17964.96</f>
        <v>-3664.57</v>
      </c>
      <c r="F296" s="60"/>
      <c r="G296" s="50"/>
      <c r="H296" s="1"/>
      <c r="I296" s="1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52" t="s">
        <v>552</v>
      </c>
      <c r="B297" s="53">
        <v>42979.0</v>
      </c>
      <c r="C297" s="54">
        <v>3950.0</v>
      </c>
      <c r="D297" s="52" t="s">
        <v>974</v>
      </c>
      <c r="E297" s="55">
        <v>94552.67</v>
      </c>
      <c r="F297" s="56"/>
      <c r="G297" s="52" t="s">
        <v>975</v>
      </c>
      <c r="H297" s="19" t="s">
        <v>13</v>
      </c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ht="12.75" customHeight="1">
      <c r="A298" s="121"/>
      <c r="B298" s="165">
        <v>42964.0</v>
      </c>
      <c r="C298" s="165">
        <v>43007.0</v>
      </c>
      <c r="D298" s="166">
        <v>1711.0</v>
      </c>
      <c r="E298" s="59">
        <f>E297-15343.59</f>
        <v>79209.08</v>
      </c>
      <c r="F298" s="124"/>
      <c r="G298" s="121"/>
      <c r="H298" s="67"/>
      <c r="I298" s="113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ht="12.75" customHeight="1">
      <c r="A299" s="121"/>
      <c r="B299" s="165">
        <v>42844.0</v>
      </c>
      <c r="C299" s="165">
        <v>43007.0</v>
      </c>
      <c r="D299" s="166">
        <v>1544.0</v>
      </c>
      <c r="E299" s="59">
        <f>E298-17964.96</f>
        <v>61244.12</v>
      </c>
      <c r="F299" s="124"/>
      <c r="G299" s="121"/>
      <c r="H299" s="67"/>
      <c r="I299" s="113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ht="12.75" customHeight="1">
      <c r="A300" s="121"/>
      <c r="B300" s="165">
        <v>42975.0</v>
      </c>
      <c r="C300" s="165">
        <v>43007.0</v>
      </c>
      <c r="D300" s="166">
        <v>1719.0</v>
      </c>
      <c r="E300" s="59">
        <f>E299-17579.41</f>
        <v>43664.71</v>
      </c>
      <c r="F300" s="124"/>
      <c r="G300" s="121"/>
      <c r="H300" s="67"/>
      <c r="I300" s="113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ht="12.75" customHeight="1">
      <c r="A301" s="121"/>
      <c r="B301" s="165">
        <v>42919.0</v>
      </c>
      <c r="C301" s="165">
        <v>43007.0</v>
      </c>
      <c r="D301" s="166">
        <v>1648.0</v>
      </c>
      <c r="E301" s="59">
        <f>E300-5915.64</f>
        <v>37749.07</v>
      </c>
      <c r="F301" s="124"/>
      <c r="G301" s="121"/>
      <c r="H301" s="67"/>
      <c r="I301" s="113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ht="12.75" customHeight="1">
      <c r="A302" s="121"/>
      <c r="B302" s="165">
        <v>42997.0</v>
      </c>
      <c r="C302" s="165">
        <v>43011.0</v>
      </c>
      <c r="D302" s="166">
        <v>1740.0</v>
      </c>
      <c r="E302" s="59">
        <f>E301-12360.8</f>
        <v>25388.27</v>
      </c>
      <c r="F302" s="124"/>
      <c r="G302" s="121"/>
      <c r="H302" s="67"/>
      <c r="I302" s="113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ht="12.75" customHeight="1">
      <c r="A303" s="121"/>
      <c r="B303" s="165"/>
      <c r="C303" s="165"/>
      <c r="D303" s="166"/>
      <c r="E303" s="155">
        <f>E302+E296</f>
        <v>21723.7</v>
      </c>
      <c r="F303" s="124" t="s">
        <v>976</v>
      </c>
      <c r="G303" s="121"/>
      <c r="H303" s="67"/>
      <c r="I303" s="113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ht="12.75" customHeight="1">
      <c r="A304" s="29" t="s">
        <v>977</v>
      </c>
      <c r="B304" s="31">
        <v>42835.0</v>
      </c>
      <c r="C304" s="29">
        <v>3022.0</v>
      </c>
      <c r="D304" s="29" t="s">
        <v>978</v>
      </c>
      <c r="E304" s="33">
        <v>2687.4</v>
      </c>
      <c r="F304" s="34"/>
      <c r="G304" s="29" t="s">
        <v>846</v>
      </c>
      <c r="H304" s="10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2.75" customHeight="1">
      <c r="A305" s="29"/>
      <c r="B305" s="31">
        <v>42943.0</v>
      </c>
      <c r="C305" s="148">
        <v>42955.0</v>
      </c>
      <c r="D305" s="29">
        <v>1252.0</v>
      </c>
      <c r="E305" s="33">
        <f>E304-2687.4</f>
        <v>0</v>
      </c>
      <c r="F305" s="34"/>
      <c r="G305" s="29"/>
      <c r="H305" s="10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2.75" customHeight="1">
      <c r="A306" s="29" t="s">
        <v>979</v>
      </c>
      <c r="B306" s="31">
        <v>42976.0</v>
      </c>
      <c r="C306" s="32">
        <v>3036.0</v>
      </c>
      <c r="D306" s="29" t="s">
        <v>980</v>
      </c>
      <c r="E306" s="33">
        <v>14100.0</v>
      </c>
      <c r="F306" s="34"/>
      <c r="G306" s="29" t="s">
        <v>600</v>
      </c>
      <c r="H306" s="10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2.75" customHeight="1">
      <c r="A307" s="29"/>
      <c r="B307" s="31">
        <v>43011.0</v>
      </c>
      <c r="C307" s="109">
        <v>43017.0</v>
      </c>
      <c r="D307" s="29">
        <v>34365.0</v>
      </c>
      <c r="E307" s="33">
        <f>E306-14100</f>
        <v>0</v>
      </c>
      <c r="F307" s="34"/>
      <c r="G307" s="29"/>
      <c r="H307" s="10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2.75" customHeight="1">
      <c r="A308" s="29" t="s">
        <v>981</v>
      </c>
      <c r="B308" s="31">
        <v>42976.0</v>
      </c>
      <c r="C308" s="32">
        <v>3022.0</v>
      </c>
      <c r="D308" s="29" t="s">
        <v>982</v>
      </c>
      <c r="E308" s="33">
        <v>2280.0</v>
      </c>
      <c r="F308" s="34"/>
      <c r="G308" s="29" t="s">
        <v>983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2.75" customHeight="1">
      <c r="A309" s="29"/>
      <c r="B309" s="31">
        <v>43013.0</v>
      </c>
      <c r="C309" s="109">
        <v>43019.0</v>
      </c>
      <c r="D309" s="29">
        <v>1863.0</v>
      </c>
      <c r="E309" s="33">
        <f>E308-2280</f>
        <v>0</v>
      </c>
      <c r="F309" s="34"/>
      <c r="G309" s="29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2.75" customHeight="1">
      <c r="A310" s="29" t="s">
        <v>984</v>
      </c>
      <c r="B310" s="31">
        <v>42886.0</v>
      </c>
      <c r="C310" s="32">
        <v>3035.0</v>
      </c>
      <c r="D310" s="29" t="s">
        <v>985</v>
      </c>
      <c r="E310" s="33">
        <v>768.4</v>
      </c>
      <c r="F310" s="34"/>
      <c r="G310" s="29" t="s">
        <v>986</v>
      </c>
      <c r="H310" s="10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2.75" customHeight="1">
      <c r="A311" s="29"/>
      <c r="B311" s="31">
        <v>42998.0</v>
      </c>
      <c r="C311" s="109">
        <v>43005.0</v>
      </c>
      <c r="D311" s="29">
        <v>27555.0</v>
      </c>
      <c r="E311" s="33">
        <f>E310-768.4</f>
        <v>0</v>
      </c>
      <c r="F311" s="34"/>
      <c r="G311" s="29"/>
      <c r="H311" s="10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2.75" customHeight="1">
      <c r="A312" s="29" t="s">
        <v>984</v>
      </c>
      <c r="B312" s="31">
        <v>42965.0</v>
      </c>
      <c r="C312" s="32">
        <v>3035.0</v>
      </c>
      <c r="D312" s="29" t="s">
        <v>987</v>
      </c>
      <c r="E312" s="33">
        <v>4980.6</v>
      </c>
      <c r="F312" s="34"/>
      <c r="G312" s="29" t="s">
        <v>986</v>
      </c>
      <c r="H312" s="10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2.75" customHeight="1">
      <c r="A313" s="29"/>
      <c r="B313" s="31">
        <v>42990.0</v>
      </c>
      <c r="C313" s="109">
        <v>42992.0</v>
      </c>
      <c r="D313" s="32">
        <v>27449.0</v>
      </c>
      <c r="E313" s="33">
        <f>E312-4980.6</f>
        <v>0</v>
      </c>
      <c r="F313" s="34"/>
      <c r="G313" s="29"/>
      <c r="H313" s="10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2.75" customHeight="1">
      <c r="A314" s="52" t="s">
        <v>156</v>
      </c>
      <c r="B314" s="53">
        <v>42864.0</v>
      </c>
      <c r="C314" s="54">
        <v>3036.0</v>
      </c>
      <c r="D314" s="52" t="s">
        <v>988</v>
      </c>
      <c r="E314" s="55">
        <v>50000.0</v>
      </c>
      <c r="F314" s="56">
        <v>43143.0</v>
      </c>
      <c r="G314" s="52" t="s">
        <v>989</v>
      </c>
      <c r="H314" s="113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ht="12.75" customHeight="1">
      <c r="A315" s="52" t="s">
        <v>156</v>
      </c>
      <c r="B315" s="53">
        <v>42885.0</v>
      </c>
      <c r="C315" s="54">
        <v>3036.0</v>
      </c>
      <c r="D315" s="52" t="s">
        <v>990</v>
      </c>
      <c r="E315" s="55">
        <v>34975.0</v>
      </c>
      <c r="F315" s="56">
        <v>43143.0</v>
      </c>
      <c r="G315" s="52" t="s">
        <v>993</v>
      </c>
      <c r="H315" s="113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ht="12.75" customHeight="1">
      <c r="A316" s="52" t="s">
        <v>156</v>
      </c>
      <c r="B316" s="53">
        <v>42811.0</v>
      </c>
      <c r="C316" s="52">
        <v>3009.0</v>
      </c>
      <c r="D316" s="52" t="s">
        <v>994</v>
      </c>
      <c r="E316" s="55">
        <v>140.5</v>
      </c>
      <c r="F316" s="56">
        <v>43112.0</v>
      </c>
      <c r="G316" s="52" t="s">
        <v>995</v>
      </c>
      <c r="H316" s="113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ht="12.75" customHeight="1">
      <c r="A317" s="121"/>
      <c r="B317" s="256">
        <v>42878.0</v>
      </c>
      <c r="C317" s="256">
        <v>42887.0</v>
      </c>
      <c r="D317" s="257">
        <v>201481.0</v>
      </c>
      <c r="E317" s="59">
        <f>E316-130</f>
        <v>10.5</v>
      </c>
      <c r="F317" s="124"/>
      <c r="G317" s="121"/>
      <c r="H317" s="113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ht="12.75" customHeight="1">
      <c r="A318" s="29" t="s">
        <v>156</v>
      </c>
      <c r="B318" s="31">
        <v>42864.0</v>
      </c>
      <c r="C318" s="29">
        <v>3036.0</v>
      </c>
      <c r="D318" s="29" t="s">
        <v>996</v>
      </c>
      <c r="E318" s="33">
        <v>6912.0</v>
      </c>
      <c r="F318" s="34"/>
      <c r="G318" s="29" t="s">
        <v>997</v>
      </c>
      <c r="H318" s="10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2.75" customHeight="1">
      <c r="A319" s="29"/>
      <c r="B319" s="31">
        <v>43000.0</v>
      </c>
      <c r="C319" s="148">
        <v>43005.0</v>
      </c>
      <c r="D319" s="29">
        <v>210813.0</v>
      </c>
      <c r="E319" s="33">
        <f>E318-3840</f>
        <v>3072</v>
      </c>
      <c r="F319" s="34"/>
      <c r="G319" s="29"/>
      <c r="H319" s="10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2.75" customHeight="1">
      <c r="A320" s="29"/>
      <c r="B320" s="31">
        <v>43003.0</v>
      </c>
      <c r="C320" s="148">
        <v>43005.0</v>
      </c>
      <c r="D320" s="29">
        <v>211007.0</v>
      </c>
      <c r="E320" s="33">
        <f>E319-3072</f>
        <v>0</v>
      </c>
      <c r="F320" s="34"/>
      <c r="G320" s="29"/>
      <c r="H320" s="10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2.75" customHeight="1">
      <c r="A321" s="52" t="s">
        <v>156</v>
      </c>
      <c r="B321" s="53">
        <v>42867.0</v>
      </c>
      <c r="C321" s="52">
        <v>3035.0</v>
      </c>
      <c r="D321" s="52" t="s">
        <v>998</v>
      </c>
      <c r="E321" s="55">
        <v>3655.0</v>
      </c>
      <c r="F321" s="56">
        <v>43223.0</v>
      </c>
      <c r="G321" s="52" t="s">
        <v>999</v>
      </c>
      <c r="H321" s="113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ht="12.75" customHeight="1">
      <c r="A322" s="52" t="s">
        <v>156</v>
      </c>
      <c r="B322" s="53">
        <v>42867.0</v>
      </c>
      <c r="C322" s="52">
        <v>3036.0</v>
      </c>
      <c r="D322" s="52" t="s">
        <v>1000</v>
      </c>
      <c r="E322" s="55">
        <v>129.5</v>
      </c>
      <c r="F322" s="56">
        <v>43180.0</v>
      </c>
      <c r="G322" s="52" t="s">
        <v>642</v>
      </c>
      <c r="H322" s="113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ht="12.75" customHeight="1">
      <c r="A323" s="52" t="s">
        <v>156</v>
      </c>
      <c r="B323" s="53">
        <v>42864.0</v>
      </c>
      <c r="C323" s="52">
        <v>3028.0</v>
      </c>
      <c r="D323" s="52" t="s">
        <v>1001</v>
      </c>
      <c r="E323" s="55">
        <v>793.5</v>
      </c>
      <c r="F323" s="56">
        <v>43161.0</v>
      </c>
      <c r="G323" s="52" t="s">
        <v>1002</v>
      </c>
      <c r="H323" s="113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ht="12.75" customHeight="1">
      <c r="A324" s="29" t="s">
        <v>156</v>
      </c>
      <c r="B324" s="31">
        <v>42919.0</v>
      </c>
      <c r="C324" s="29">
        <v>3036.0</v>
      </c>
      <c r="D324" s="29" t="s">
        <v>1003</v>
      </c>
      <c r="E324" s="33">
        <v>7550.0</v>
      </c>
      <c r="F324" s="34"/>
      <c r="G324" s="29" t="s">
        <v>1004</v>
      </c>
      <c r="H324" s="113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ht="12.75" customHeight="1">
      <c r="A325" s="12"/>
      <c r="B325" s="151">
        <v>42933.0</v>
      </c>
      <c r="C325" s="258">
        <v>42955.0</v>
      </c>
      <c r="D325" s="259">
        <v>205838.0</v>
      </c>
      <c r="E325" s="260">
        <f>E324-453</f>
        <v>7097</v>
      </c>
      <c r="F325" s="34"/>
      <c r="G325" s="29"/>
      <c r="H325" s="113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ht="12.75" customHeight="1">
      <c r="A326" s="12"/>
      <c r="B326" s="151">
        <v>42944.0</v>
      </c>
      <c r="C326" s="258">
        <v>42955.0</v>
      </c>
      <c r="D326" s="259">
        <v>206822.0</v>
      </c>
      <c r="E326" s="260">
        <f>E325-7097</f>
        <v>0</v>
      </c>
      <c r="F326" s="34"/>
      <c r="G326" s="29"/>
      <c r="H326" s="113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ht="12.75" customHeight="1">
      <c r="A327" s="29" t="s">
        <v>1005</v>
      </c>
      <c r="B327" s="31">
        <v>42976.0</v>
      </c>
      <c r="C327" s="32">
        <v>3036.0</v>
      </c>
      <c r="D327" s="29" t="s">
        <v>1006</v>
      </c>
      <c r="E327" s="33">
        <v>800.0</v>
      </c>
      <c r="F327" s="34"/>
      <c r="G327" s="29" t="s">
        <v>600</v>
      </c>
      <c r="H327" s="10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2.75" customHeight="1">
      <c r="A328" s="12"/>
      <c r="B328" s="31">
        <v>43004.0</v>
      </c>
      <c r="C328" s="109">
        <v>43007.0</v>
      </c>
      <c r="D328" s="29">
        <v>12340.0</v>
      </c>
      <c r="E328" s="33">
        <f>E327-800</f>
        <v>0</v>
      </c>
      <c r="F328" s="34"/>
      <c r="G328" s="29"/>
      <c r="H328" s="10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2.75" customHeight="1">
      <c r="A329" s="16" t="s">
        <v>1010</v>
      </c>
      <c r="B329" s="53">
        <v>42828.0</v>
      </c>
      <c r="C329" s="52">
        <v>3036.0</v>
      </c>
      <c r="D329" s="52" t="s">
        <v>1011</v>
      </c>
      <c r="E329" s="55">
        <v>8203.0</v>
      </c>
      <c r="F329" s="56">
        <v>43160.0</v>
      </c>
      <c r="G329" s="52" t="s">
        <v>631</v>
      </c>
      <c r="H329" s="113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2.75" customHeight="1">
      <c r="A330" s="52" t="s">
        <v>1005</v>
      </c>
      <c r="B330" s="53">
        <v>43009.0</v>
      </c>
      <c r="C330" s="52">
        <v>3036.0</v>
      </c>
      <c r="D330" s="52" t="s">
        <v>1014</v>
      </c>
      <c r="E330" s="55">
        <v>14498.65</v>
      </c>
      <c r="F330" s="56">
        <v>43371.0</v>
      </c>
      <c r="G330" s="52" t="s">
        <v>1016</v>
      </c>
      <c r="H330" s="113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2.75" customHeight="1">
      <c r="A331" s="29" t="s">
        <v>1017</v>
      </c>
      <c r="B331" s="31">
        <v>42874.0</v>
      </c>
      <c r="C331" s="29">
        <v>3039.0</v>
      </c>
      <c r="D331" s="29" t="s">
        <v>1018</v>
      </c>
      <c r="E331" s="33">
        <v>1709.94</v>
      </c>
      <c r="F331" s="34"/>
      <c r="G331" s="29" t="s">
        <v>608</v>
      </c>
      <c r="H331" s="113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2.75" customHeight="1">
      <c r="A332" s="29"/>
      <c r="B332" s="130">
        <v>42894.0</v>
      </c>
      <c r="C332" s="130">
        <v>42906.0</v>
      </c>
      <c r="D332" s="135">
        <v>455.0</v>
      </c>
      <c r="E332" s="33">
        <f>E331-1709.94</f>
        <v>0</v>
      </c>
      <c r="F332" s="34"/>
      <c r="G332" s="29"/>
      <c r="H332" s="113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2.75" customHeight="1">
      <c r="A333" s="52" t="s">
        <v>159</v>
      </c>
      <c r="B333" s="53">
        <v>42826.0</v>
      </c>
      <c r="C333" s="52">
        <v>3036.0</v>
      </c>
      <c r="D333" s="52" t="s">
        <v>1021</v>
      </c>
      <c r="E333" s="55">
        <v>50000.0</v>
      </c>
      <c r="F333" s="56">
        <v>43189.0</v>
      </c>
      <c r="G333" s="52" t="s">
        <v>628</v>
      </c>
      <c r="H333" s="113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2.75" customHeight="1">
      <c r="A334" s="121"/>
      <c r="B334" s="256">
        <v>42880.0</v>
      </c>
      <c r="C334" s="256">
        <v>42884.0</v>
      </c>
      <c r="D334" s="257">
        <v>25406.0</v>
      </c>
      <c r="E334" s="59">
        <f>E333-9916.6</f>
        <v>40083.4</v>
      </c>
      <c r="F334" s="124"/>
      <c r="G334" s="121"/>
      <c r="H334" s="113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2.75" customHeight="1">
      <c r="A335" s="121"/>
      <c r="B335" s="256">
        <v>42899.0</v>
      </c>
      <c r="C335" s="256">
        <v>42905.0</v>
      </c>
      <c r="D335" s="257">
        <v>25791.0</v>
      </c>
      <c r="E335" s="59">
        <f>E334-6350</f>
        <v>33733.4</v>
      </c>
      <c r="F335" s="124"/>
      <c r="G335" s="121"/>
      <c r="H335" s="113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2.75" customHeight="1">
      <c r="A336" s="121"/>
      <c r="B336" s="256">
        <v>42899.0</v>
      </c>
      <c r="C336" s="256">
        <v>42905.0</v>
      </c>
      <c r="D336" s="257">
        <v>25790.0</v>
      </c>
      <c r="E336" s="59">
        <f>E335-9928.4</f>
        <v>23805</v>
      </c>
      <c r="F336" s="124"/>
      <c r="G336" s="121"/>
      <c r="H336" s="113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2.75" customHeight="1">
      <c r="A337" s="121"/>
      <c r="B337" s="256">
        <v>42922.0</v>
      </c>
      <c r="C337" s="256">
        <v>42927.0</v>
      </c>
      <c r="D337" s="257">
        <v>26305.0</v>
      </c>
      <c r="E337" s="59">
        <f>E336-11950</f>
        <v>11855</v>
      </c>
      <c r="F337" s="124"/>
      <c r="G337" s="121"/>
      <c r="H337" s="113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2.75" customHeight="1">
      <c r="A338" s="121"/>
      <c r="B338" s="256">
        <v>42934.0</v>
      </c>
      <c r="C338" s="256">
        <v>42944.0</v>
      </c>
      <c r="D338" s="257">
        <v>26539.0</v>
      </c>
      <c r="E338" s="59">
        <f>E337-400</f>
        <v>11455</v>
      </c>
      <c r="F338" s="124"/>
      <c r="G338" s="121"/>
      <c r="H338" s="113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2.75" customHeight="1">
      <c r="A339" s="121"/>
      <c r="B339" s="256">
        <v>42956.0</v>
      </c>
      <c r="C339" s="256">
        <v>42962.0</v>
      </c>
      <c r="D339" s="257">
        <v>27048.0</v>
      </c>
      <c r="E339" s="59">
        <f>E338-3780</f>
        <v>7675</v>
      </c>
      <c r="F339" s="124"/>
      <c r="G339" s="121"/>
      <c r="H339" s="113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2.75" customHeight="1">
      <c r="A340" s="121"/>
      <c r="B340" s="256">
        <v>42961.0</v>
      </c>
      <c r="C340" s="256">
        <v>42969.0</v>
      </c>
      <c r="D340" s="257">
        <v>27136.0</v>
      </c>
      <c r="E340" s="59">
        <f>E339-1120</f>
        <v>6555</v>
      </c>
      <c r="F340" s="124"/>
      <c r="G340" s="121"/>
      <c r="H340" s="113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ht="12.75" customHeight="1">
      <c r="A341" s="121"/>
      <c r="B341" s="256">
        <v>42956.0</v>
      </c>
      <c r="C341" s="256">
        <v>43062.0</v>
      </c>
      <c r="D341" s="257">
        <v>27047.0</v>
      </c>
      <c r="E341" s="59">
        <f>E340-560</f>
        <v>5995</v>
      </c>
      <c r="F341" s="124"/>
      <c r="G341" s="121"/>
      <c r="H341" s="113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2.75" customHeight="1">
      <c r="A342" s="121"/>
      <c r="B342" s="256">
        <v>42969.0</v>
      </c>
      <c r="C342" s="256">
        <v>43062.0</v>
      </c>
      <c r="D342" s="257">
        <v>27303.0</v>
      </c>
      <c r="E342" s="59">
        <f>E341-5600</f>
        <v>395</v>
      </c>
      <c r="F342" s="124"/>
      <c r="G342" s="121"/>
      <c r="H342" s="113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2.75" customHeight="1">
      <c r="A343" s="29" t="s">
        <v>159</v>
      </c>
      <c r="B343" s="31">
        <v>42864.0</v>
      </c>
      <c r="C343" s="29">
        <v>3036.0</v>
      </c>
      <c r="D343" s="29" t="s">
        <v>1034</v>
      </c>
      <c r="E343" s="33">
        <v>1620.0</v>
      </c>
      <c r="F343" s="34"/>
      <c r="G343" s="29" t="s">
        <v>997</v>
      </c>
      <c r="H343" s="10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2.75" customHeight="1">
      <c r="A344" s="29"/>
      <c r="B344" s="31">
        <v>42993.0</v>
      </c>
      <c r="C344" s="148">
        <v>43000.0</v>
      </c>
      <c r="D344" s="29">
        <v>27876.0</v>
      </c>
      <c r="E344" s="33">
        <f>E343-1620</f>
        <v>0</v>
      </c>
      <c r="F344" s="34"/>
      <c r="G344" s="29"/>
      <c r="H344" s="10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2.75" customHeight="1">
      <c r="A345" s="29" t="s">
        <v>159</v>
      </c>
      <c r="B345" s="31">
        <v>42867.0</v>
      </c>
      <c r="C345" s="29">
        <v>3036.0</v>
      </c>
      <c r="D345" s="29" t="s">
        <v>1037</v>
      </c>
      <c r="E345" s="33">
        <v>5381.0</v>
      </c>
      <c r="F345" s="34">
        <v>43153.0</v>
      </c>
      <c r="G345" s="29" t="s">
        <v>1038</v>
      </c>
      <c r="H345" s="10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2.75" customHeight="1">
      <c r="A346" s="29"/>
      <c r="B346" s="31">
        <v>42969.0</v>
      </c>
      <c r="C346" s="148">
        <v>43046.0</v>
      </c>
      <c r="D346" s="29">
        <v>27302.0</v>
      </c>
      <c r="E346" s="33">
        <f>E345-3505</f>
        <v>1876</v>
      </c>
      <c r="F346" s="34"/>
      <c r="G346" s="29"/>
      <c r="H346" s="10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2.75" customHeight="1">
      <c r="A347" s="29"/>
      <c r="B347" s="31">
        <v>43039.0</v>
      </c>
      <c r="C347" s="148">
        <v>43046.0</v>
      </c>
      <c r="D347" s="29">
        <v>28780.0</v>
      </c>
      <c r="E347" s="33">
        <f>E346-1876</f>
        <v>0</v>
      </c>
      <c r="F347" s="34"/>
      <c r="G347" s="29"/>
      <c r="H347" s="113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ht="12.75" customHeight="1">
      <c r="A348" s="29" t="s">
        <v>159</v>
      </c>
      <c r="B348" s="31">
        <v>42850.0</v>
      </c>
      <c r="C348" s="29">
        <v>3036.0</v>
      </c>
      <c r="D348" s="29" t="s">
        <v>1039</v>
      </c>
      <c r="E348" s="33">
        <v>1958.0</v>
      </c>
      <c r="F348" s="34"/>
      <c r="G348" s="29" t="s">
        <v>1040</v>
      </c>
      <c r="H348" s="10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2.75" customHeight="1">
      <c r="A349" s="29"/>
      <c r="B349" s="31">
        <v>42969.0</v>
      </c>
      <c r="C349" s="148">
        <v>42978.0</v>
      </c>
      <c r="D349" s="29">
        <v>27301.0</v>
      </c>
      <c r="E349" s="33">
        <f>E348-1958</f>
        <v>0</v>
      </c>
      <c r="F349" s="34"/>
      <c r="G349" s="29"/>
      <c r="H349" s="10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2.75" customHeight="1">
      <c r="A350" s="52" t="s">
        <v>159</v>
      </c>
      <c r="B350" s="53">
        <v>42891.0</v>
      </c>
      <c r="C350" s="52">
        <v>3036.0</v>
      </c>
      <c r="D350" s="52" t="s">
        <v>1041</v>
      </c>
      <c r="E350" s="55">
        <v>48802.8</v>
      </c>
      <c r="F350" s="56">
        <v>43190.0</v>
      </c>
      <c r="G350" s="52" t="s">
        <v>1042</v>
      </c>
      <c r="H350" s="113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ht="12.75" customHeight="1">
      <c r="A351" s="52" t="s">
        <v>159</v>
      </c>
      <c r="B351" s="53">
        <v>43066.0</v>
      </c>
      <c r="C351" s="52">
        <v>3036.0</v>
      </c>
      <c r="D351" s="52" t="s">
        <v>1043</v>
      </c>
      <c r="E351" s="55">
        <v>100000.0</v>
      </c>
      <c r="F351" s="56">
        <v>43190.0</v>
      </c>
      <c r="G351" s="52" t="s">
        <v>1042</v>
      </c>
      <c r="H351" s="113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ht="12.75" customHeight="1">
      <c r="A352" s="29" t="s">
        <v>159</v>
      </c>
      <c r="B352" s="31">
        <v>42968.0</v>
      </c>
      <c r="C352" s="29">
        <v>3036.0</v>
      </c>
      <c r="D352" s="29" t="s">
        <v>1044</v>
      </c>
      <c r="E352" s="33">
        <v>5145.0</v>
      </c>
      <c r="F352" s="34">
        <v>43312.0</v>
      </c>
      <c r="G352" s="29" t="s">
        <v>1045</v>
      </c>
      <c r="H352" s="10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2.75" customHeight="1">
      <c r="A353" s="29"/>
      <c r="B353" s="31">
        <v>43031.0</v>
      </c>
      <c r="C353" s="148">
        <v>43046.0</v>
      </c>
      <c r="D353" s="261">
        <v>2443141.0</v>
      </c>
      <c r="E353" s="33">
        <f>E352-5145</f>
        <v>0</v>
      </c>
      <c r="F353" s="34"/>
      <c r="G353" s="29"/>
      <c r="H353" s="10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2.75" customHeight="1">
      <c r="A354" s="52" t="s">
        <v>1046</v>
      </c>
      <c r="B354" s="53">
        <v>42936.0</v>
      </c>
      <c r="C354" s="52">
        <v>3007.0</v>
      </c>
      <c r="D354" s="52" t="s">
        <v>1047</v>
      </c>
      <c r="E354" s="55">
        <v>30000.0</v>
      </c>
      <c r="F354" s="56">
        <v>43291.0</v>
      </c>
      <c r="G354" s="52" t="s">
        <v>660</v>
      </c>
      <c r="H354" s="113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ht="12.75" customHeight="1">
      <c r="A355" s="121"/>
      <c r="B355" s="142">
        <v>43012.0</v>
      </c>
      <c r="C355" s="262">
        <v>43017.0</v>
      </c>
      <c r="D355" s="263">
        <v>1249.0</v>
      </c>
      <c r="E355" s="59">
        <f>E354-574.8</f>
        <v>29425.2</v>
      </c>
      <c r="F355" s="124"/>
      <c r="G355" s="121"/>
      <c r="H355" s="113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ht="12.75" customHeight="1">
      <c r="A356" s="121"/>
      <c r="B356" s="142">
        <v>43028.0</v>
      </c>
      <c r="C356" s="262">
        <v>43045.0</v>
      </c>
      <c r="D356" s="263">
        <v>1363.0</v>
      </c>
      <c r="E356" s="59">
        <f>E355-50</f>
        <v>29375.2</v>
      </c>
      <c r="F356" s="124"/>
      <c r="G356" s="121"/>
      <c r="H356" s="113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ht="12.75" customHeight="1">
      <c r="A357" s="52" t="s">
        <v>1046</v>
      </c>
      <c r="B357" s="53">
        <v>43028.0</v>
      </c>
      <c r="C357" s="52">
        <v>3007.0</v>
      </c>
      <c r="D357" s="52" t="s">
        <v>1050</v>
      </c>
      <c r="E357" s="55">
        <v>50406.25</v>
      </c>
      <c r="F357" s="56">
        <v>43291.0</v>
      </c>
      <c r="G357" s="52" t="s">
        <v>660</v>
      </c>
      <c r="H357" s="113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ht="12.75" customHeight="1">
      <c r="A358" s="121"/>
      <c r="B358" s="139">
        <v>43034.0</v>
      </c>
      <c r="C358" s="140">
        <v>43062.0</v>
      </c>
      <c r="D358" s="121">
        <v>1418.0</v>
      </c>
      <c r="E358" s="155">
        <f>E357-1163.76</f>
        <v>49242.49</v>
      </c>
      <c r="F358" s="124"/>
      <c r="G358" s="121"/>
      <c r="H358" s="113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2.75" customHeight="1">
      <c r="A359" s="52" t="s">
        <v>666</v>
      </c>
      <c r="B359" s="53">
        <v>42968.0</v>
      </c>
      <c r="C359" s="52">
        <v>3916.0</v>
      </c>
      <c r="D359" s="52" t="s">
        <v>1054</v>
      </c>
      <c r="E359" s="55">
        <v>26489.9</v>
      </c>
      <c r="F359" s="56"/>
      <c r="G359" s="52" t="s">
        <v>1055</v>
      </c>
      <c r="H359" s="113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ht="12.75" customHeight="1">
      <c r="A360" s="121"/>
      <c r="B360" s="256">
        <v>42979.0</v>
      </c>
      <c r="C360" s="256">
        <v>42983.0</v>
      </c>
      <c r="D360" s="257">
        <v>7631.0</v>
      </c>
      <c r="E360" s="59">
        <f t="shared" ref="E360:E362" si="6">E359-2111.03</f>
        <v>24378.87</v>
      </c>
      <c r="F360" s="124"/>
      <c r="G360" s="121"/>
      <c r="H360" s="113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ht="12.75" customHeight="1">
      <c r="A361" s="121"/>
      <c r="B361" s="256">
        <v>43010.0</v>
      </c>
      <c r="C361" s="256">
        <v>43017.0</v>
      </c>
      <c r="D361" s="257">
        <v>7761.0</v>
      </c>
      <c r="E361" s="59">
        <f t="shared" si="6"/>
        <v>22267.84</v>
      </c>
      <c r="F361" s="124"/>
      <c r="G361" s="121"/>
      <c r="H361" s="113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ht="12.75" customHeight="1">
      <c r="A362" s="121"/>
      <c r="B362" s="256">
        <v>43040.0</v>
      </c>
      <c r="C362" s="256">
        <v>43047.0</v>
      </c>
      <c r="D362" s="257">
        <v>7897.0</v>
      </c>
      <c r="E362" s="59">
        <f t="shared" si="6"/>
        <v>20156.81</v>
      </c>
      <c r="F362" s="124"/>
      <c r="G362" s="121"/>
      <c r="H362" s="113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ht="12.75" customHeight="1">
      <c r="A363" s="121"/>
      <c r="B363" s="256"/>
      <c r="C363" s="256"/>
      <c r="D363" s="257"/>
      <c r="E363" s="59"/>
      <c r="F363" s="124"/>
      <c r="G363" s="121"/>
      <c r="H363" s="113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ht="12.75" customHeight="1">
      <c r="A364" s="29" t="s">
        <v>1058</v>
      </c>
      <c r="B364" s="31">
        <v>42908.0</v>
      </c>
      <c r="C364" s="29">
        <v>3016.0</v>
      </c>
      <c r="D364" s="29" t="s">
        <v>1060</v>
      </c>
      <c r="E364" s="33">
        <v>1425.55</v>
      </c>
      <c r="F364" s="34"/>
      <c r="G364" s="29" t="s">
        <v>590</v>
      </c>
      <c r="H364" s="10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2.75" customHeight="1">
      <c r="A365" s="29"/>
      <c r="B365" s="31">
        <v>42958.0</v>
      </c>
      <c r="C365" s="148">
        <v>42978.0</v>
      </c>
      <c r="D365" s="29">
        <v>1454.0</v>
      </c>
      <c r="E365" s="33">
        <f>E364-E364</f>
        <v>0</v>
      </c>
      <c r="F365" s="34"/>
      <c r="G365" s="29"/>
      <c r="H365" s="10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2.75" customHeight="1">
      <c r="A366" s="52" t="s">
        <v>1063</v>
      </c>
      <c r="B366" s="53">
        <v>43040.0</v>
      </c>
      <c r="C366" s="52">
        <v>3917.0</v>
      </c>
      <c r="D366" s="52" t="s">
        <v>1064</v>
      </c>
      <c r="E366" s="55">
        <v>53000.0</v>
      </c>
      <c r="F366" s="56">
        <v>43382.0</v>
      </c>
      <c r="G366" s="52" t="s">
        <v>1065</v>
      </c>
      <c r="H366" s="113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ht="12.75" customHeight="1">
      <c r="A367" s="29" t="s">
        <v>1117</v>
      </c>
      <c r="B367" s="31">
        <v>42885.0</v>
      </c>
      <c r="C367" s="29">
        <v>3039.0</v>
      </c>
      <c r="D367" s="29" t="s">
        <v>1118</v>
      </c>
      <c r="E367" s="33">
        <v>626.4</v>
      </c>
      <c r="F367" s="34">
        <v>43249.0</v>
      </c>
      <c r="G367" s="29" t="s">
        <v>1119</v>
      </c>
      <c r="H367" s="10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2.75" customHeight="1">
      <c r="A368" s="29"/>
      <c r="B368" s="31">
        <v>43062.0</v>
      </c>
      <c r="C368" s="148">
        <v>43062.0</v>
      </c>
      <c r="D368" s="29">
        <v>26069.0</v>
      </c>
      <c r="E368" s="33">
        <f>E367-626.4</f>
        <v>0</v>
      </c>
      <c r="F368" s="34"/>
      <c r="G368" s="29"/>
      <c r="H368" s="10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2.75" customHeight="1">
      <c r="A369" s="52" t="s">
        <v>686</v>
      </c>
      <c r="B369" s="53">
        <v>42921.0</v>
      </c>
      <c r="C369" s="54">
        <v>3950.0</v>
      </c>
      <c r="D369" s="52" t="s">
        <v>1120</v>
      </c>
      <c r="E369" s="55">
        <v>32000.0</v>
      </c>
      <c r="F369" s="56">
        <v>43315.0</v>
      </c>
      <c r="G369" s="52" t="s">
        <v>1121</v>
      </c>
      <c r="H369" s="1"/>
      <c r="I369" s="15"/>
      <c r="J369" s="35"/>
      <c r="K369" s="35"/>
      <c r="L369" s="3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50"/>
      <c r="B370" s="162">
        <v>42982.0</v>
      </c>
      <c r="C370" s="162">
        <v>42989.0</v>
      </c>
      <c r="D370" s="163">
        <v>1722.0</v>
      </c>
      <c r="E370" s="59">
        <f>E369-7426.9</f>
        <v>24573.1</v>
      </c>
      <c r="F370" s="60"/>
      <c r="G370" s="50"/>
      <c r="H370" s="1"/>
      <c r="I370" s="38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50"/>
      <c r="B371" s="162">
        <v>43011.0</v>
      </c>
      <c r="C371" s="162">
        <v>43014.0</v>
      </c>
      <c r="D371" s="163">
        <v>1765.0</v>
      </c>
      <c r="E371" s="59">
        <f>E370-8458.2</f>
        <v>16114.9</v>
      </c>
      <c r="F371" s="60"/>
      <c r="G371" s="50"/>
      <c r="H371" s="1"/>
      <c r="I371" s="38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50"/>
      <c r="B372" s="162">
        <v>43040.0</v>
      </c>
      <c r="C372" s="162">
        <v>43049.0</v>
      </c>
      <c r="D372" s="163">
        <v>1859.0</v>
      </c>
      <c r="E372" s="59">
        <f>E371-10288.41</f>
        <v>5826.49</v>
      </c>
      <c r="F372" s="60"/>
      <c r="G372" s="50"/>
      <c r="H372" s="1"/>
      <c r="I372" s="38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52" t="s">
        <v>686</v>
      </c>
      <c r="B373" s="53">
        <v>43053.0</v>
      </c>
      <c r="C373" s="54">
        <v>3950.0</v>
      </c>
      <c r="D373" s="52" t="s">
        <v>1125</v>
      </c>
      <c r="E373" s="55">
        <v>62723.78</v>
      </c>
      <c r="F373" s="56">
        <v>43315.0</v>
      </c>
      <c r="G373" s="52" t="s">
        <v>1126</v>
      </c>
      <c r="H373" s="1"/>
      <c r="I373" s="15"/>
      <c r="J373" s="35"/>
      <c r="K373" s="35"/>
      <c r="L373" s="3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29" t="s">
        <v>1127</v>
      </c>
      <c r="B374" s="31">
        <v>42866.0</v>
      </c>
      <c r="C374" s="29">
        <v>3036.0</v>
      </c>
      <c r="D374" s="29" t="s">
        <v>1128</v>
      </c>
      <c r="E374" s="33">
        <v>10750.72</v>
      </c>
      <c r="F374" s="34"/>
      <c r="G374" s="29" t="s">
        <v>1129</v>
      </c>
      <c r="H374" s="113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ht="12.75" customHeight="1">
      <c r="A375" s="29"/>
      <c r="B375" s="160">
        <v>42942.0</v>
      </c>
      <c r="C375" s="160">
        <v>42948.0</v>
      </c>
      <c r="D375" s="161">
        <v>1153.0</v>
      </c>
      <c r="E375" s="33">
        <f>E374-10750.72</f>
        <v>0</v>
      </c>
      <c r="F375" s="34"/>
      <c r="G375" s="29"/>
      <c r="H375" s="1"/>
      <c r="I375" s="38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29" t="s">
        <v>1130</v>
      </c>
      <c r="B376" s="31">
        <v>42936.0</v>
      </c>
      <c r="C376" s="29">
        <v>3917.0</v>
      </c>
      <c r="D376" s="29" t="s">
        <v>1131</v>
      </c>
      <c r="E376" s="33">
        <v>7810.0</v>
      </c>
      <c r="F376" s="34">
        <v>43107.0</v>
      </c>
      <c r="G376" s="29" t="s">
        <v>1132</v>
      </c>
      <c r="H376" s="10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2.75" customHeight="1">
      <c r="A377" s="29"/>
      <c r="B377" s="31">
        <v>42971.0</v>
      </c>
      <c r="C377" s="148">
        <v>42978.0</v>
      </c>
      <c r="D377" s="29">
        <v>65.0</v>
      </c>
      <c r="E377" s="33">
        <f>E376-E376</f>
        <v>0</v>
      </c>
      <c r="F377" s="34"/>
      <c r="G377" s="29"/>
      <c r="H377" s="10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2.75" customHeight="1">
      <c r="A378" s="29" t="s">
        <v>1133</v>
      </c>
      <c r="B378" s="31">
        <v>42965.0</v>
      </c>
      <c r="C378" s="29">
        <v>3022.0</v>
      </c>
      <c r="D378" s="29" t="s">
        <v>1134</v>
      </c>
      <c r="E378" s="33">
        <v>10125.0</v>
      </c>
      <c r="F378" s="34">
        <v>42965.0</v>
      </c>
      <c r="G378" s="29" t="s">
        <v>1135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2.75" customHeight="1">
      <c r="A379" s="29"/>
      <c r="B379" s="31">
        <v>43012.0</v>
      </c>
      <c r="C379" s="148">
        <v>43049.0</v>
      </c>
      <c r="D379" s="29">
        <v>709.0</v>
      </c>
      <c r="E379" s="33">
        <f>E378-10125</f>
        <v>0</v>
      </c>
      <c r="F379" s="34"/>
      <c r="G379" s="29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2.75" customHeight="1">
      <c r="A380" s="52" t="s">
        <v>1137</v>
      </c>
      <c r="B380" s="53">
        <v>43028.0</v>
      </c>
      <c r="C380" s="52">
        <v>3950.0</v>
      </c>
      <c r="D380" s="52" t="s">
        <v>1138</v>
      </c>
      <c r="E380" s="55">
        <v>504525.0</v>
      </c>
      <c r="F380" s="56">
        <v>43390.0</v>
      </c>
      <c r="G380" s="52" t="s">
        <v>1139</v>
      </c>
      <c r="H380" s="113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ht="12.75" customHeight="1">
      <c r="A381" s="44" t="s">
        <v>1141</v>
      </c>
      <c r="B381" s="45">
        <v>42864.0</v>
      </c>
      <c r="C381" s="44">
        <v>3028.0</v>
      </c>
      <c r="D381" s="44" t="s">
        <v>1143</v>
      </c>
      <c r="E381" s="47">
        <v>22000.0</v>
      </c>
      <c r="F381" s="48">
        <v>43161.0</v>
      </c>
      <c r="G381" s="44" t="s">
        <v>1002</v>
      </c>
      <c r="H381" s="30" t="s">
        <v>22</v>
      </c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ht="12.75" customHeight="1">
      <c r="A382" s="29" t="s">
        <v>1145</v>
      </c>
      <c r="B382" s="31">
        <v>42874.0</v>
      </c>
      <c r="C382" s="29">
        <v>3039.0</v>
      </c>
      <c r="D382" s="29" t="s">
        <v>1146</v>
      </c>
      <c r="E382" s="33">
        <v>5807.44</v>
      </c>
      <c r="F382" s="34"/>
      <c r="G382" s="29" t="s">
        <v>608</v>
      </c>
      <c r="H382" s="113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ht="12.75" customHeight="1">
      <c r="A383" s="29"/>
      <c r="B383" s="160">
        <v>42928.0</v>
      </c>
      <c r="C383" s="160">
        <v>42948.0</v>
      </c>
      <c r="D383" s="161">
        <v>2344.0</v>
      </c>
      <c r="E383" s="33">
        <f>E382-5807.44</f>
        <v>0</v>
      </c>
      <c r="F383" s="34"/>
      <c r="G383" s="29"/>
      <c r="H383" s="1"/>
      <c r="I383" s="38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29" t="s">
        <v>1147</v>
      </c>
      <c r="B384" s="31">
        <v>42835.0</v>
      </c>
      <c r="C384" s="29">
        <v>3022.0</v>
      </c>
      <c r="D384" s="29" t="s">
        <v>1149</v>
      </c>
      <c r="E384" s="33">
        <v>8672.0</v>
      </c>
      <c r="F384" s="34"/>
      <c r="G384" s="29" t="s">
        <v>846</v>
      </c>
      <c r="H384" s="113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ht="12.75" customHeight="1">
      <c r="A385" s="29"/>
      <c r="B385" s="130">
        <v>42922.0</v>
      </c>
      <c r="C385" s="130">
        <v>42930.0</v>
      </c>
      <c r="D385" s="135">
        <v>462.0</v>
      </c>
      <c r="E385" s="33">
        <f>E384-8672</f>
        <v>0</v>
      </c>
      <c r="F385" s="34"/>
      <c r="G385" s="29"/>
      <c r="H385" s="113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ht="12.75" customHeight="1">
      <c r="A386" s="52" t="s">
        <v>1147</v>
      </c>
      <c r="B386" s="53">
        <v>42864.0</v>
      </c>
      <c r="C386" s="52">
        <v>3007.0</v>
      </c>
      <c r="D386" s="52" t="s">
        <v>1152</v>
      </c>
      <c r="E386" s="55">
        <v>11000.0</v>
      </c>
      <c r="F386" s="56">
        <v>43188.0</v>
      </c>
      <c r="G386" s="52" t="s">
        <v>1153</v>
      </c>
      <c r="H386" s="113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ht="12.75" customHeight="1">
      <c r="A387" s="121"/>
      <c r="B387" s="256">
        <v>42888.0</v>
      </c>
      <c r="C387" s="256">
        <v>42894.0</v>
      </c>
      <c r="D387" s="257">
        <v>312.0</v>
      </c>
      <c r="E387" s="59">
        <f>E386-202.4</f>
        <v>10797.6</v>
      </c>
      <c r="F387" s="124"/>
      <c r="G387" s="121"/>
      <c r="H387" s="113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ht="12.75" customHeight="1">
      <c r="A388" s="121"/>
      <c r="B388" s="256">
        <v>42906.0</v>
      </c>
      <c r="C388" s="256">
        <v>42922.0</v>
      </c>
      <c r="D388" s="257">
        <v>387.0</v>
      </c>
      <c r="E388" s="59">
        <f>E387-565.2</f>
        <v>10232.4</v>
      </c>
      <c r="F388" s="124"/>
      <c r="G388" s="121"/>
      <c r="H388" s="113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ht="12.75" customHeight="1">
      <c r="A389" s="121"/>
      <c r="B389" s="256">
        <v>42923.0</v>
      </c>
      <c r="C389" s="256">
        <v>42944.0</v>
      </c>
      <c r="D389" s="257">
        <v>464.0</v>
      </c>
      <c r="E389" s="59">
        <f>E388-5313.6</f>
        <v>4918.8</v>
      </c>
      <c r="F389" s="124"/>
      <c r="G389" s="121"/>
      <c r="H389" s="113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ht="12.75" customHeight="1">
      <c r="A390" s="121"/>
      <c r="B390" s="256">
        <v>42976.0</v>
      </c>
      <c r="C390" s="256">
        <v>43004.0</v>
      </c>
      <c r="D390" s="257">
        <v>694.0</v>
      </c>
      <c r="E390" s="59">
        <f>E389-3287.5</f>
        <v>1631.3</v>
      </c>
      <c r="F390" s="124"/>
      <c r="G390" s="121"/>
      <c r="H390" s="113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ht="12.75" customHeight="1">
      <c r="A391" s="121"/>
      <c r="B391" s="256">
        <v>43005.0</v>
      </c>
      <c r="C391" s="256">
        <v>43013.0</v>
      </c>
      <c r="D391" s="257">
        <v>814.0</v>
      </c>
      <c r="E391" s="59">
        <f>E390-1630.16</f>
        <v>1.14</v>
      </c>
      <c r="F391" s="124"/>
      <c r="G391" s="121"/>
      <c r="H391" s="113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ht="12.75" customHeight="1">
      <c r="A392" s="52" t="s">
        <v>1147</v>
      </c>
      <c r="B392" s="53">
        <v>42888.0</v>
      </c>
      <c r="C392" s="52">
        <v>3007.0</v>
      </c>
      <c r="D392" s="52" t="s">
        <v>1158</v>
      </c>
      <c r="E392" s="55">
        <v>29034.4</v>
      </c>
      <c r="F392" s="56">
        <v>43188.0</v>
      </c>
      <c r="G392" s="52" t="s">
        <v>1159</v>
      </c>
      <c r="H392" s="113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ht="12.75" customHeight="1">
      <c r="A393" s="273"/>
      <c r="B393" s="165">
        <v>43005.0</v>
      </c>
      <c r="C393" s="275">
        <v>43013.0</v>
      </c>
      <c r="D393" s="273">
        <v>815.0</v>
      </c>
      <c r="E393" s="277">
        <f>E392-2094.84</f>
        <v>26939.56</v>
      </c>
      <c r="F393" s="283"/>
      <c r="G393" s="273"/>
      <c r="H393" s="284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</row>
    <row r="394" ht="12.75" customHeight="1">
      <c r="A394" s="273"/>
      <c r="B394" s="165">
        <v>43048.0</v>
      </c>
      <c r="C394" s="275">
        <v>43062.0</v>
      </c>
      <c r="D394" s="273">
        <v>1006.0</v>
      </c>
      <c r="E394" s="277">
        <f>E393-10746.2</f>
        <v>16193.36</v>
      </c>
      <c r="F394" s="283"/>
      <c r="G394" s="273"/>
      <c r="H394" s="284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</row>
    <row r="395" ht="12.75" customHeight="1">
      <c r="A395" s="44" t="s">
        <v>1163</v>
      </c>
      <c r="B395" s="45">
        <v>42748.0</v>
      </c>
      <c r="C395" s="46">
        <v>3028.0</v>
      </c>
      <c r="D395" s="44" t="s">
        <v>1164</v>
      </c>
      <c r="E395" s="47">
        <v>55.76</v>
      </c>
      <c r="F395" s="48">
        <v>43018.0</v>
      </c>
      <c r="G395" s="44" t="s">
        <v>958</v>
      </c>
      <c r="H395" s="30" t="s">
        <v>22</v>
      </c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ht="12.75" customHeight="1">
      <c r="A396" s="29" t="s">
        <v>703</v>
      </c>
      <c r="B396" s="31">
        <v>42867.0</v>
      </c>
      <c r="C396" s="32">
        <v>3950.0</v>
      </c>
      <c r="D396" s="29" t="s">
        <v>1166</v>
      </c>
      <c r="E396" s="33">
        <v>110000.0</v>
      </c>
      <c r="F396" s="34">
        <v>43025.0</v>
      </c>
      <c r="G396" s="29" t="s">
        <v>1167</v>
      </c>
      <c r="H396" s="19" t="s">
        <v>13</v>
      </c>
      <c r="I396" s="1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29"/>
      <c r="B397" s="151">
        <v>42914.0</v>
      </c>
      <c r="C397" s="151">
        <v>42922.0</v>
      </c>
      <c r="D397" s="152">
        <v>225.0</v>
      </c>
      <c r="E397" s="33">
        <f>E396-39023.54</f>
        <v>70976.46</v>
      </c>
      <c r="F397" s="34"/>
      <c r="G397" s="29"/>
      <c r="H397" s="1"/>
      <c r="I397" s="1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29"/>
      <c r="B398" s="151">
        <v>42926.0</v>
      </c>
      <c r="C398" s="151">
        <v>42930.0</v>
      </c>
      <c r="D398" s="152">
        <v>234.0</v>
      </c>
      <c r="E398" s="33">
        <v>26427.46</v>
      </c>
      <c r="F398" s="34"/>
      <c r="G398" s="29"/>
      <c r="H398" s="1"/>
      <c r="I398" s="1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29"/>
      <c r="B399" s="151">
        <v>42962.0</v>
      </c>
      <c r="C399" s="151">
        <v>42972.0</v>
      </c>
      <c r="D399" s="152">
        <v>262.0</v>
      </c>
      <c r="E399" s="33">
        <f>E398-26427.46</f>
        <v>0</v>
      </c>
      <c r="F399" s="34"/>
      <c r="G399" s="29"/>
      <c r="H399" s="1"/>
      <c r="I399" s="1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52" t="s">
        <v>703</v>
      </c>
      <c r="B400" s="53">
        <v>42965.0</v>
      </c>
      <c r="C400" s="54">
        <v>3950.0</v>
      </c>
      <c r="D400" s="52" t="s">
        <v>1168</v>
      </c>
      <c r="E400" s="55">
        <v>200000.0</v>
      </c>
      <c r="F400" s="56">
        <v>43025.0</v>
      </c>
      <c r="G400" s="52" t="s">
        <v>1167</v>
      </c>
      <c r="H400" s="19" t="s">
        <v>13</v>
      </c>
      <c r="I400" s="1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50"/>
      <c r="B401" s="153">
        <v>42962.0</v>
      </c>
      <c r="C401" s="153">
        <v>42972.0</v>
      </c>
      <c r="D401" s="154">
        <v>262.0</v>
      </c>
      <c r="E401" s="59">
        <f>E400-27783.75</f>
        <v>172216.25</v>
      </c>
      <c r="F401" s="60"/>
      <c r="G401" s="50"/>
      <c r="H401" s="1"/>
      <c r="I401" s="1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50"/>
      <c r="B402" s="153">
        <v>42992.0</v>
      </c>
      <c r="C402" s="153">
        <v>43003.0</v>
      </c>
      <c r="D402" s="154">
        <v>283.0</v>
      </c>
      <c r="E402" s="59">
        <f>E401-60828.62</f>
        <v>111387.63</v>
      </c>
      <c r="F402" s="60"/>
      <c r="G402" s="50"/>
      <c r="H402" s="1"/>
      <c r="I402" s="1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50"/>
      <c r="B403" s="153">
        <v>43053.0</v>
      </c>
      <c r="C403" s="153">
        <v>43062.0</v>
      </c>
      <c r="D403" s="154">
        <v>319.0</v>
      </c>
      <c r="E403" s="59">
        <f>E402-61574.37</f>
        <v>49813.26</v>
      </c>
      <c r="F403" s="60"/>
      <c r="G403" s="50"/>
      <c r="H403" s="1"/>
      <c r="I403" s="1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52" t="s">
        <v>703</v>
      </c>
      <c r="B404" s="53">
        <v>43010.0</v>
      </c>
      <c r="C404" s="54">
        <v>3950.0</v>
      </c>
      <c r="D404" s="52" t="s">
        <v>1172</v>
      </c>
      <c r="E404" s="55">
        <v>114916.0</v>
      </c>
      <c r="F404" s="56"/>
      <c r="G404" s="52" t="s">
        <v>1173</v>
      </c>
      <c r="H404" s="19" t="s">
        <v>13</v>
      </c>
      <c r="I404" s="1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21"/>
      <c r="B405" s="139">
        <v>42958.0</v>
      </c>
      <c r="C405" s="156">
        <v>43033.0</v>
      </c>
      <c r="D405" s="121">
        <v>293.0</v>
      </c>
      <c r="E405" s="59">
        <f>E404-63517.76</f>
        <v>51398.24</v>
      </c>
      <c r="F405" s="124"/>
      <c r="G405" s="121"/>
      <c r="H405" s="67"/>
      <c r="I405" s="113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ht="12.75" customHeight="1">
      <c r="A406" s="52" t="s">
        <v>703</v>
      </c>
      <c r="B406" s="53">
        <v>43010.0</v>
      </c>
      <c r="C406" s="54">
        <v>3950.0</v>
      </c>
      <c r="D406" s="52" t="s">
        <v>1176</v>
      </c>
      <c r="E406" s="55">
        <v>16402.0</v>
      </c>
      <c r="F406" s="56"/>
      <c r="G406" s="52" t="s">
        <v>1177</v>
      </c>
      <c r="H406" s="19" t="s">
        <v>13</v>
      </c>
      <c r="I406" s="1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52" t="s">
        <v>1178</v>
      </c>
      <c r="B407" s="53">
        <v>42804.0</v>
      </c>
      <c r="C407" s="54">
        <v>3036.0</v>
      </c>
      <c r="D407" s="52" t="s">
        <v>1179</v>
      </c>
      <c r="E407" s="55">
        <v>1440.0</v>
      </c>
      <c r="F407" s="56">
        <v>42778.0</v>
      </c>
      <c r="G407" s="52" t="s">
        <v>989</v>
      </c>
      <c r="H407" s="113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ht="12.75" customHeight="1">
      <c r="A408" s="29" t="s">
        <v>1178</v>
      </c>
      <c r="B408" s="31">
        <v>42921.0</v>
      </c>
      <c r="C408" s="32">
        <v>3036.0</v>
      </c>
      <c r="D408" s="29" t="s">
        <v>1180</v>
      </c>
      <c r="E408" s="33">
        <v>6971.25</v>
      </c>
      <c r="F408" s="34">
        <v>43174.0</v>
      </c>
      <c r="G408" s="29" t="s">
        <v>535</v>
      </c>
      <c r="H408" s="10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2.75" customHeight="1">
      <c r="A409" s="29"/>
      <c r="B409" s="31">
        <v>43027.0</v>
      </c>
      <c r="C409" s="109">
        <v>43034.0</v>
      </c>
      <c r="D409" s="29">
        <v>843.0</v>
      </c>
      <c r="E409" s="33">
        <f>E408-1875</f>
        <v>5096.25</v>
      </c>
      <c r="F409" s="34"/>
      <c r="G409" s="29"/>
      <c r="H409" s="10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2.75" customHeight="1">
      <c r="A410" s="29"/>
      <c r="B410" s="31">
        <v>43027.0</v>
      </c>
      <c r="C410" s="109">
        <v>43034.0</v>
      </c>
      <c r="D410" s="29">
        <v>844.0</v>
      </c>
      <c r="E410" s="33">
        <f>E409-5096.25</f>
        <v>0</v>
      </c>
      <c r="F410" s="34"/>
      <c r="G410" s="29"/>
      <c r="H410" s="10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2.75" customHeight="1">
      <c r="A411" s="29" t="s">
        <v>191</v>
      </c>
      <c r="B411" s="31">
        <v>42781.0</v>
      </c>
      <c r="C411" s="32">
        <v>3950.0</v>
      </c>
      <c r="D411" s="29" t="s">
        <v>1181</v>
      </c>
      <c r="E411" s="33">
        <v>100000.0</v>
      </c>
      <c r="F411" s="34">
        <v>42935.0</v>
      </c>
      <c r="G411" s="29" t="s">
        <v>1182</v>
      </c>
      <c r="H411" s="12" t="s">
        <v>13</v>
      </c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2.75" customHeight="1">
      <c r="A412" s="29"/>
      <c r="B412" s="151">
        <v>42866.0</v>
      </c>
      <c r="C412" s="151">
        <v>42887.0</v>
      </c>
      <c r="D412" s="152">
        <v>45090.0</v>
      </c>
      <c r="E412" s="33">
        <f>E411-5570.25</f>
        <v>94429.75</v>
      </c>
      <c r="F412" s="34"/>
      <c r="G412" s="29"/>
      <c r="H412" s="12"/>
      <c r="I412" s="104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2.75" customHeight="1">
      <c r="A413" s="29"/>
      <c r="B413" s="151">
        <v>42907.0</v>
      </c>
      <c r="C413" s="151">
        <v>42922.0</v>
      </c>
      <c r="D413" s="152">
        <v>45888.0</v>
      </c>
      <c r="E413" s="33">
        <v>78417.55</v>
      </c>
      <c r="F413" s="34"/>
      <c r="G413" s="29"/>
      <c r="H413" s="12"/>
      <c r="I413" s="104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2.75" customHeight="1">
      <c r="A414" s="29"/>
      <c r="B414" s="151">
        <v>42929.0</v>
      </c>
      <c r="C414" s="151">
        <v>42948.0</v>
      </c>
      <c r="D414" s="152">
        <v>46300.0</v>
      </c>
      <c r="E414" s="33">
        <f>E413-64196.95</f>
        <v>14220.6</v>
      </c>
      <c r="F414" s="34"/>
      <c r="G414" s="29"/>
      <c r="H414" s="12"/>
      <c r="I414" s="104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2.75" customHeight="1">
      <c r="A415" s="29"/>
      <c r="B415" s="151">
        <v>42964.0</v>
      </c>
      <c r="C415" s="151">
        <v>42978.0</v>
      </c>
      <c r="D415" s="152">
        <v>46917.0</v>
      </c>
      <c r="E415" s="33">
        <f>E414-14220.6</f>
        <v>0</v>
      </c>
      <c r="F415" s="34"/>
      <c r="G415" s="29"/>
      <c r="H415" s="12"/>
      <c r="I415" s="104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2.75" customHeight="1">
      <c r="A416" s="52" t="s">
        <v>191</v>
      </c>
      <c r="B416" s="53">
        <v>42867.0</v>
      </c>
      <c r="C416" s="54">
        <v>3950.0</v>
      </c>
      <c r="D416" s="52" t="s">
        <v>1185</v>
      </c>
      <c r="E416" s="55">
        <v>300000.0</v>
      </c>
      <c r="F416" s="56">
        <v>42935.0</v>
      </c>
      <c r="G416" s="52" t="s">
        <v>1182</v>
      </c>
      <c r="H416" s="19" t="s">
        <v>13</v>
      </c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ht="12.75" customHeight="1">
      <c r="A417" s="121"/>
      <c r="B417" s="139">
        <v>43032.0</v>
      </c>
      <c r="C417" s="156">
        <v>43047.0</v>
      </c>
      <c r="D417" s="121">
        <v>48219.0</v>
      </c>
      <c r="E417" s="59">
        <f>E416-54187.34</f>
        <v>245812.66</v>
      </c>
      <c r="F417" s="124"/>
      <c r="G417" s="121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ht="12.75" customHeight="1">
      <c r="A418" s="52"/>
      <c r="B418" s="53">
        <v>42964.0</v>
      </c>
      <c r="C418" s="289">
        <v>42978.0</v>
      </c>
      <c r="D418" s="52">
        <v>46917.0</v>
      </c>
      <c r="E418" s="55">
        <f>E416-82760.25</f>
        <v>217239.75</v>
      </c>
      <c r="F418" s="56"/>
      <c r="G418" s="52"/>
      <c r="H418" s="19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ht="12.75" customHeight="1">
      <c r="A419" s="29" t="s">
        <v>712</v>
      </c>
      <c r="B419" s="31">
        <v>42850.0</v>
      </c>
      <c r="C419" s="29">
        <v>3950.0</v>
      </c>
      <c r="D419" s="29" t="s">
        <v>1186</v>
      </c>
      <c r="E419" s="33">
        <v>273000.0</v>
      </c>
      <c r="F419" s="34"/>
      <c r="G419" s="29" t="s">
        <v>1187</v>
      </c>
      <c r="H419" s="1"/>
      <c r="I419" s="1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29"/>
      <c r="B420" s="151">
        <v>42746.0</v>
      </c>
      <c r="C420" s="32"/>
      <c r="D420" s="152">
        <v>13517.0</v>
      </c>
      <c r="E420" s="33">
        <f>E419-12698.27</f>
        <v>260301.73</v>
      </c>
      <c r="F420" s="34"/>
      <c r="G420" s="29"/>
      <c r="H420" s="1"/>
      <c r="I420" s="1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29"/>
      <c r="B421" s="151">
        <v>42786.0</v>
      </c>
      <c r="C421" s="32"/>
      <c r="D421" s="152">
        <v>13706.0</v>
      </c>
      <c r="E421" s="33">
        <f>E420-107190.43</f>
        <v>153111.3</v>
      </c>
      <c r="F421" s="34"/>
      <c r="G421" s="29"/>
      <c r="H421" s="1"/>
      <c r="I421" s="1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29"/>
      <c r="B422" s="151">
        <v>42802.0</v>
      </c>
      <c r="C422" s="32"/>
      <c r="D422" s="152">
        <v>13785.0</v>
      </c>
      <c r="E422" s="33">
        <f>E421-83169.76</f>
        <v>69941.54</v>
      </c>
      <c r="F422" s="34"/>
      <c r="G422" s="29"/>
      <c r="H422" s="1"/>
      <c r="I422" s="1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29"/>
      <c r="B423" s="151">
        <v>42850.0</v>
      </c>
      <c r="C423" s="32"/>
      <c r="D423" s="152">
        <v>14061.0</v>
      </c>
      <c r="E423" s="33">
        <f>E422-69941.54</f>
        <v>0</v>
      </c>
      <c r="F423" s="34"/>
      <c r="G423" s="29"/>
      <c r="H423" s="113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ht="12.75" customHeight="1">
      <c r="A424" s="29" t="s">
        <v>712</v>
      </c>
      <c r="B424" s="31">
        <v>42850.0</v>
      </c>
      <c r="C424" s="29">
        <v>3950.0</v>
      </c>
      <c r="D424" s="29" t="s">
        <v>1190</v>
      </c>
      <c r="E424" s="33">
        <v>203000.0</v>
      </c>
      <c r="F424" s="34"/>
      <c r="G424" s="29" t="s">
        <v>1187</v>
      </c>
      <c r="H424" s="19" t="s">
        <v>13</v>
      </c>
      <c r="I424" s="1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29"/>
      <c r="B425" s="151">
        <v>42850.0</v>
      </c>
      <c r="C425" s="32"/>
      <c r="D425" s="152">
        <v>14061.0</v>
      </c>
      <c r="E425" s="33">
        <f>E424-87671.76</f>
        <v>115328.24</v>
      </c>
      <c r="F425" s="34"/>
      <c r="G425" s="29"/>
      <c r="H425" s="113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ht="12.75" customHeight="1">
      <c r="A426" s="29"/>
      <c r="B426" s="151">
        <v>42878.0</v>
      </c>
      <c r="C426" s="151">
        <v>42887.0</v>
      </c>
      <c r="D426" s="152">
        <v>14277.0</v>
      </c>
      <c r="E426" s="33">
        <f>E425-93500.15</f>
        <v>21828.09</v>
      </c>
      <c r="F426" s="34"/>
      <c r="G426" s="29"/>
      <c r="H426" s="113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ht="12.75" customHeight="1">
      <c r="A427" s="29"/>
      <c r="B427" s="151">
        <v>42908.0</v>
      </c>
      <c r="C427" s="151">
        <v>42920.0</v>
      </c>
      <c r="D427" s="152">
        <v>14413.0</v>
      </c>
      <c r="E427" s="33">
        <f>E426-21828.09</f>
        <v>0</v>
      </c>
      <c r="F427" s="34"/>
      <c r="G427" s="29"/>
      <c r="H427" s="113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ht="12.75" customHeight="1">
      <c r="A428" s="52" t="s">
        <v>712</v>
      </c>
      <c r="B428" s="53">
        <v>42867.0</v>
      </c>
      <c r="C428" s="52">
        <v>3950.0</v>
      </c>
      <c r="D428" s="52" t="s">
        <v>1191</v>
      </c>
      <c r="E428" s="55">
        <v>599808.0</v>
      </c>
      <c r="F428" s="56"/>
      <c r="G428" s="52" t="s">
        <v>1192</v>
      </c>
      <c r="H428" s="19" t="s">
        <v>13</v>
      </c>
      <c r="I428" s="1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50"/>
      <c r="B429" s="153">
        <v>42908.0</v>
      </c>
      <c r="C429" s="153">
        <v>42920.0</v>
      </c>
      <c r="D429" s="154">
        <v>14413.0</v>
      </c>
      <c r="E429" s="59">
        <f>E428-65434.93</f>
        <v>534373.07</v>
      </c>
      <c r="F429" s="60"/>
      <c r="G429" s="50"/>
      <c r="H429" s="113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ht="12.75" customHeight="1">
      <c r="A430" s="50"/>
      <c r="B430" s="153">
        <v>42930.0</v>
      </c>
      <c r="C430" s="153">
        <v>42948.0</v>
      </c>
      <c r="D430" s="154">
        <v>14509.0</v>
      </c>
      <c r="E430" s="59">
        <f>E429-107814.8</f>
        <v>426558.27</v>
      </c>
      <c r="F430" s="60"/>
      <c r="G430" s="50"/>
      <c r="H430" s="113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ht="12.75" customHeight="1">
      <c r="A431" s="50"/>
      <c r="B431" s="153">
        <v>42956.0</v>
      </c>
      <c r="C431" s="153">
        <v>42962.0</v>
      </c>
      <c r="D431" s="154">
        <v>14625.0</v>
      </c>
      <c r="E431" s="59">
        <f>E430-103959.48</f>
        <v>322598.79</v>
      </c>
      <c r="F431" s="60"/>
      <c r="G431" s="50"/>
      <c r="H431" s="113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ht="12.75" customHeight="1">
      <c r="A432" s="50"/>
      <c r="B432" s="153">
        <v>42999.0</v>
      </c>
      <c r="C432" s="153">
        <v>43011.0</v>
      </c>
      <c r="D432" s="154">
        <v>14807.0</v>
      </c>
      <c r="E432" s="59">
        <f>E431-129576.8</f>
        <v>193021.99</v>
      </c>
      <c r="F432" s="60"/>
      <c r="G432" s="50"/>
      <c r="H432" s="113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ht="12.75" customHeight="1">
      <c r="A433" s="50"/>
      <c r="B433" s="153">
        <v>43024.0</v>
      </c>
      <c r="C433" s="153">
        <v>43033.0</v>
      </c>
      <c r="D433" s="154">
        <v>14930.0</v>
      </c>
      <c r="E433" s="59">
        <f>E432-114246.52</f>
        <v>78775.47</v>
      </c>
      <c r="F433" s="60"/>
      <c r="G433" s="50"/>
      <c r="H433" s="113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ht="12.75" customHeight="1">
      <c r="A434" s="50"/>
      <c r="B434" s="153">
        <v>43053.0</v>
      </c>
      <c r="C434" s="153">
        <v>43061.0</v>
      </c>
      <c r="D434" s="154">
        <v>15075.0</v>
      </c>
      <c r="E434" s="59">
        <f>E433-53208.19</f>
        <v>25567.28</v>
      </c>
      <c r="F434" s="60"/>
      <c r="G434" s="50"/>
      <c r="H434" s="113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ht="12.75" customHeight="1">
      <c r="A435" s="50"/>
      <c r="B435" s="153">
        <v>43053.0</v>
      </c>
      <c r="C435" s="153">
        <v>43062.0</v>
      </c>
      <c r="D435" s="154">
        <v>15074.0</v>
      </c>
      <c r="E435" s="47">
        <f>E434-78775.47</f>
        <v>-53208.19</v>
      </c>
      <c r="F435" s="60"/>
      <c r="G435" s="50"/>
      <c r="H435" s="113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2.75" customHeight="1">
      <c r="A436" s="29" t="s">
        <v>935</v>
      </c>
      <c r="B436" s="151">
        <v>42919.0</v>
      </c>
      <c r="C436" s="151">
        <v>3917.0</v>
      </c>
      <c r="D436" s="152" t="s">
        <v>1200</v>
      </c>
      <c r="E436" s="33">
        <v>21800.0</v>
      </c>
      <c r="F436" s="34"/>
      <c r="G436" s="29"/>
      <c r="H436" s="10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2.75" customHeight="1">
      <c r="A437" s="29"/>
      <c r="B437" s="151">
        <v>42979.0</v>
      </c>
      <c r="C437" s="151">
        <v>42982.0</v>
      </c>
      <c r="D437" s="152">
        <v>1966.0</v>
      </c>
      <c r="E437" s="33">
        <f>E436-21800</f>
        <v>0</v>
      </c>
      <c r="F437" s="34"/>
      <c r="G437" s="29"/>
      <c r="H437" s="10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2.75" customHeight="1">
      <c r="A438" s="29" t="s">
        <v>1202</v>
      </c>
      <c r="B438" s="34">
        <v>42864.0</v>
      </c>
      <c r="C438" s="29">
        <v>3036.0</v>
      </c>
      <c r="D438" s="29" t="s">
        <v>1203</v>
      </c>
      <c r="E438" s="33">
        <v>39800.0</v>
      </c>
      <c r="F438" s="34"/>
      <c r="G438" s="29" t="s">
        <v>1205</v>
      </c>
      <c r="H438" s="113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ht="12.75" customHeight="1">
      <c r="A439" s="29"/>
      <c r="B439" s="151">
        <v>42886.0</v>
      </c>
      <c r="C439" s="151">
        <v>42891.0</v>
      </c>
      <c r="D439" s="152">
        <v>90232.0</v>
      </c>
      <c r="E439" s="33">
        <f>E438-39800</f>
        <v>0</v>
      </c>
      <c r="F439" s="34"/>
      <c r="G439" s="29"/>
      <c r="H439" s="113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ht="12.75" customHeight="1">
      <c r="A440" s="29" t="s">
        <v>1207</v>
      </c>
      <c r="B440" s="34">
        <v>42828.0</v>
      </c>
      <c r="C440" s="29">
        <v>3028.0</v>
      </c>
      <c r="D440" s="29" t="s">
        <v>1208</v>
      </c>
      <c r="E440" s="33">
        <v>918.0</v>
      </c>
      <c r="F440" s="34">
        <v>43112.0</v>
      </c>
      <c r="G440" s="29" t="s">
        <v>530</v>
      </c>
      <c r="H440" s="113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ht="12.75" customHeight="1">
      <c r="A441" s="29"/>
      <c r="B441" s="151">
        <v>42929.0</v>
      </c>
      <c r="C441" s="151">
        <v>42944.0</v>
      </c>
      <c r="D441" s="152">
        <v>2387.0</v>
      </c>
      <c r="E441" s="33">
        <f>E440-918</f>
        <v>0</v>
      </c>
      <c r="F441" s="34"/>
      <c r="G441" s="29"/>
      <c r="H441" s="113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ht="12.75" customHeight="1">
      <c r="A442" s="29" t="s">
        <v>1209</v>
      </c>
      <c r="B442" s="31">
        <v>42976.0</v>
      </c>
      <c r="C442" s="32">
        <v>3036.0</v>
      </c>
      <c r="D442" s="29" t="s">
        <v>1210</v>
      </c>
      <c r="E442" s="33">
        <v>4800.0</v>
      </c>
      <c r="F442" s="34"/>
      <c r="G442" s="29" t="s">
        <v>600</v>
      </c>
      <c r="H442" s="10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2.75" customHeight="1">
      <c r="A443" s="29"/>
      <c r="B443" s="119">
        <v>43012.0</v>
      </c>
      <c r="C443" s="291">
        <v>43017.0</v>
      </c>
      <c r="D443" s="292">
        <v>741.0</v>
      </c>
      <c r="E443" s="33">
        <f>E442-4800</f>
        <v>0</v>
      </c>
      <c r="F443" s="34"/>
      <c r="G443" s="29"/>
      <c r="H443" s="10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2.75" customHeight="1">
      <c r="A444" s="52" t="s">
        <v>718</v>
      </c>
      <c r="B444" s="53">
        <v>42866.0</v>
      </c>
      <c r="C444" s="52">
        <v>3036.0</v>
      </c>
      <c r="D444" s="52" t="s">
        <v>1214</v>
      </c>
      <c r="E444" s="55">
        <v>2535.03</v>
      </c>
      <c r="F444" s="56">
        <v>43208.0</v>
      </c>
      <c r="G444" s="52" t="s">
        <v>1129</v>
      </c>
      <c r="H444" s="113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ht="12.75" customHeight="1">
      <c r="A445" s="29" t="s">
        <v>1215</v>
      </c>
      <c r="B445" s="31">
        <v>42921.0</v>
      </c>
      <c r="C445" s="32">
        <v>3036.0</v>
      </c>
      <c r="D445" s="29" t="s">
        <v>1216</v>
      </c>
      <c r="E445" s="33">
        <v>3742.5</v>
      </c>
      <c r="F445" s="34"/>
      <c r="G445" s="29" t="s">
        <v>535</v>
      </c>
      <c r="H445" s="10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2.75" customHeight="1">
      <c r="A446" s="29"/>
      <c r="B446" s="119">
        <v>42982.0</v>
      </c>
      <c r="C446" s="119">
        <v>42969.0</v>
      </c>
      <c r="D446" s="120">
        <v>35724.0</v>
      </c>
      <c r="E446" s="33">
        <f>E445-3742.5</f>
        <v>0</v>
      </c>
      <c r="F446" s="34"/>
      <c r="G446" s="29"/>
      <c r="H446" s="10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2.75" customHeight="1">
      <c r="A447" s="29" t="s">
        <v>1218</v>
      </c>
      <c r="B447" s="31">
        <v>42921.0</v>
      </c>
      <c r="C447" s="29">
        <v>3016.0</v>
      </c>
      <c r="D447" s="29" t="s">
        <v>1219</v>
      </c>
      <c r="E447" s="33">
        <v>1461.0</v>
      </c>
      <c r="F447" s="34"/>
      <c r="G447" s="29" t="s">
        <v>590</v>
      </c>
      <c r="H447" s="10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2.75" customHeight="1">
      <c r="A448" s="29"/>
      <c r="B448" s="31">
        <v>42943.0</v>
      </c>
      <c r="C448" s="148">
        <v>43005.0</v>
      </c>
      <c r="D448" s="29">
        <v>18502.0</v>
      </c>
      <c r="E448" s="33">
        <f>E447-1461</f>
        <v>0</v>
      </c>
      <c r="F448" s="34"/>
      <c r="G448" s="29"/>
      <c r="H448" s="10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2.75" customHeight="1">
      <c r="A449" s="29" t="s">
        <v>1218</v>
      </c>
      <c r="B449" s="31">
        <v>42908.0</v>
      </c>
      <c r="C449" s="29">
        <v>3016.0</v>
      </c>
      <c r="D449" s="29" t="s">
        <v>1222</v>
      </c>
      <c r="E449" s="33">
        <v>3670.73</v>
      </c>
      <c r="F449" s="34"/>
      <c r="G449" s="29" t="s">
        <v>590</v>
      </c>
      <c r="H449" s="10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2.75" customHeight="1">
      <c r="A450" s="29"/>
      <c r="B450" s="31">
        <v>43019.0</v>
      </c>
      <c r="C450" s="148">
        <v>43026.0</v>
      </c>
      <c r="D450" s="29">
        <v>19263.0</v>
      </c>
      <c r="E450" s="33">
        <f>E449-3670.73</f>
        <v>0</v>
      </c>
      <c r="F450" s="34"/>
      <c r="G450" s="29"/>
      <c r="H450" s="10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2.75" customHeight="1">
      <c r="A451" s="29" t="s">
        <v>793</v>
      </c>
      <c r="B451" s="31">
        <v>42864.0</v>
      </c>
      <c r="C451" s="29">
        <v>3036.0</v>
      </c>
      <c r="D451" s="29" t="s">
        <v>1226</v>
      </c>
      <c r="E451" s="33">
        <v>9347.0</v>
      </c>
      <c r="F451" s="34"/>
      <c r="G451" s="29" t="s">
        <v>1040</v>
      </c>
      <c r="H451" s="113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ht="12.75" customHeight="1">
      <c r="A452" s="29"/>
      <c r="B452" s="119">
        <v>42914.0</v>
      </c>
      <c r="C452" s="119">
        <v>42926.0</v>
      </c>
      <c r="D452" s="120">
        <v>70985.0</v>
      </c>
      <c r="E452" s="33">
        <f>E451-3434</f>
        <v>5913</v>
      </c>
      <c r="F452" s="34"/>
      <c r="G452" s="29"/>
      <c r="H452" s="113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ht="12.75" customHeight="1">
      <c r="A453" s="29"/>
      <c r="B453" s="119">
        <v>42914.0</v>
      </c>
      <c r="C453" s="119">
        <v>42944.0</v>
      </c>
      <c r="D453" s="120">
        <v>70986.0</v>
      </c>
      <c r="E453" s="33">
        <f>E452-5913</f>
        <v>0</v>
      </c>
      <c r="F453" s="34"/>
      <c r="G453" s="29"/>
      <c r="H453" s="113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ht="12.75" customHeight="1">
      <c r="A454" s="29" t="s">
        <v>201</v>
      </c>
      <c r="B454" s="31">
        <v>42979.0</v>
      </c>
      <c r="C454" s="29">
        <v>3950.0</v>
      </c>
      <c r="D454" s="29" t="s">
        <v>1229</v>
      </c>
      <c r="E454" s="33">
        <v>20000.0</v>
      </c>
      <c r="F454" s="34"/>
      <c r="G454" s="29" t="s">
        <v>1230</v>
      </c>
      <c r="H454" s="10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2.75" customHeight="1">
      <c r="A455" s="29"/>
      <c r="B455" s="31">
        <v>43049.0</v>
      </c>
      <c r="C455" s="148">
        <v>43060.0</v>
      </c>
      <c r="D455" s="29">
        <v>481.0</v>
      </c>
      <c r="E455" s="33">
        <f>E454-E454</f>
        <v>0</v>
      </c>
      <c r="F455" s="34"/>
      <c r="G455" s="29"/>
      <c r="H455" s="10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2.75" customHeight="1">
      <c r="A456" s="52" t="s">
        <v>201</v>
      </c>
      <c r="B456" s="53">
        <v>43032.0</v>
      </c>
      <c r="C456" s="52">
        <v>3950.0</v>
      </c>
      <c r="D456" s="52" t="s">
        <v>1232</v>
      </c>
      <c r="E456" s="55">
        <v>100000.0</v>
      </c>
      <c r="F456" s="56"/>
      <c r="G456" s="52" t="s">
        <v>1234</v>
      </c>
      <c r="H456" s="113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ht="12.75" customHeight="1">
      <c r="A457" s="52"/>
      <c r="B457" s="53">
        <v>43049.0</v>
      </c>
      <c r="C457" s="293">
        <v>43060.0</v>
      </c>
      <c r="D457" s="52">
        <v>481.0</v>
      </c>
      <c r="E457" s="55">
        <f>E456-87686.19</f>
        <v>12313.81</v>
      </c>
      <c r="F457" s="56"/>
      <c r="G457" s="52"/>
      <c r="H457" s="113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ht="12.75" customHeight="1">
      <c r="A458" s="52" t="s">
        <v>904</v>
      </c>
      <c r="B458" s="53">
        <v>42990.0</v>
      </c>
      <c r="C458" s="52">
        <v>3917.0</v>
      </c>
      <c r="D458" s="52" t="s">
        <v>1236</v>
      </c>
      <c r="E458" s="55">
        <v>60000.0</v>
      </c>
      <c r="F458" s="56">
        <v>43354.0</v>
      </c>
      <c r="G458" s="52" t="s">
        <v>1237</v>
      </c>
      <c r="H458" s="113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ht="12.75" customHeight="1">
      <c r="A459" s="121"/>
      <c r="B459" s="139">
        <v>43052.0</v>
      </c>
      <c r="C459" s="140">
        <v>43060.0</v>
      </c>
      <c r="D459" s="121" t="s">
        <v>1238</v>
      </c>
      <c r="E459" s="155">
        <f>E458-6027</f>
        <v>53973</v>
      </c>
      <c r="F459" s="124"/>
      <c r="G459" s="121"/>
      <c r="H459" s="113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ht="12.75" customHeight="1">
      <c r="A460" s="29" t="s">
        <v>864</v>
      </c>
      <c r="B460" s="31">
        <v>42779.0</v>
      </c>
      <c r="C460" s="32">
        <v>3950.0</v>
      </c>
      <c r="D460" s="29" t="s">
        <v>1239</v>
      </c>
      <c r="E460" s="33">
        <v>100000.0</v>
      </c>
      <c r="F460" s="34">
        <v>43076.0</v>
      </c>
      <c r="G460" s="29" t="s">
        <v>1240</v>
      </c>
      <c r="H460" s="1"/>
      <c r="I460" s="1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29"/>
      <c r="B461" s="119">
        <v>42790.0</v>
      </c>
      <c r="C461" s="120"/>
      <c r="D461" s="120">
        <v>593285.0</v>
      </c>
      <c r="E461" s="33">
        <f>E460-100000</f>
        <v>0</v>
      </c>
      <c r="F461" s="34"/>
      <c r="G461" s="29"/>
      <c r="H461" s="113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ht="12.75" customHeight="1">
      <c r="A462" s="29" t="s">
        <v>864</v>
      </c>
      <c r="B462" s="31">
        <v>42828.0</v>
      </c>
      <c r="C462" s="32">
        <v>3950.0</v>
      </c>
      <c r="D462" s="29" t="s">
        <v>1241</v>
      </c>
      <c r="E462" s="33">
        <v>130000.0</v>
      </c>
      <c r="F462" s="34">
        <v>43076.0</v>
      </c>
      <c r="G462" s="29" t="s">
        <v>1242</v>
      </c>
      <c r="H462" s="19" t="s">
        <v>13</v>
      </c>
      <c r="I462" s="1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29"/>
      <c r="B463" s="119">
        <v>42790.0</v>
      </c>
      <c r="C463" s="120"/>
      <c r="D463" s="120">
        <v>593285.0</v>
      </c>
      <c r="E463" s="33">
        <f>E462-13807.4</f>
        <v>116192.6</v>
      </c>
      <c r="F463" s="34"/>
      <c r="G463" s="29"/>
      <c r="H463" s="1"/>
      <c r="I463" s="1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29"/>
      <c r="B464" s="119">
        <v>42825.0</v>
      </c>
      <c r="C464" s="120"/>
      <c r="D464" s="120">
        <v>593529.0</v>
      </c>
      <c r="E464" s="33">
        <f>E463-74183.19</f>
        <v>42009.41</v>
      </c>
      <c r="F464" s="34"/>
      <c r="G464" s="29"/>
      <c r="H464" s="113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ht="12.75" customHeight="1">
      <c r="A465" s="29"/>
      <c r="B465" s="119">
        <v>42853.0</v>
      </c>
      <c r="C465" s="119">
        <v>42870.0</v>
      </c>
      <c r="D465" s="120">
        <v>593695.0</v>
      </c>
      <c r="E465" s="33">
        <f>E464-42009.41</f>
        <v>0</v>
      </c>
      <c r="F465" s="34"/>
      <c r="G465" s="29"/>
      <c r="H465" s="113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ht="12.75" customHeight="1">
      <c r="A466" s="29" t="s">
        <v>864</v>
      </c>
      <c r="B466" s="31">
        <v>42867.0</v>
      </c>
      <c r="C466" s="32">
        <v>3950.0</v>
      </c>
      <c r="D466" s="29" t="s">
        <v>1243</v>
      </c>
      <c r="E466" s="33">
        <v>579019.0</v>
      </c>
      <c r="F466" s="34">
        <v>43076.0</v>
      </c>
      <c r="G466" s="29" t="s">
        <v>1242</v>
      </c>
      <c r="H466" s="12" t="s">
        <v>13</v>
      </c>
      <c r="I466" s="104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2.75" customHeight="1">
      <c r="A467" s="29"/>
      <c r="B467" s="119">
        <v>42853.0</v>
      </c>
      <c r="C467" s="119">
        <v>42870.0</v>
      </c>
      <c r="D467" s="120">
        <v>593695.0</v>
      </c>
      <c r="E467" s="33">
        <f>E466-171375.34</f>
        <v>407643.66</v>
      </c>
      <c r="F467" s="34"/>
      <c r="G467" s="29"/>
      <c r="H467" s="10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2.75" customHeight="1">
      <c r="A468" s="29"/>
      <c r="B468" s="119">
        <v>42886.0</v>
      </c>
      <c r="C468" s="119">
        <v>42895.0</v>
      </c>
      <c r="D468" s="120">
        <v>593948.0</v>
      </c>
      <c r="E468" s="33">
        <f>E467-81928.71</f>
        <v>325714.95</v>
      </c>
      <c r="F468" s="34"/>
      <c r="G468" s="29"/>
      <c r="H468" s="10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2.75" customHeight="1">
      <c r="A469" s="29"/>
      <c r="B469" s="119">
        <v>42916.0</v>
      </c>
      <c r="C469" s="119">
        <v>42927.0</v>
      </c>
      <c r="D469" s="120">
        <v>594140.0</v>
      </c>
      <c r="E469" s="33">
        <v>500100.26</v>
      </c>
      <c r="F469" s="34"/>
      <c r="G469" s="29"/>
      <c r="H469" s="10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2.75" customHeight="1">
      <c r="A470" s="29"/>
      <c r="B470" s="119">
        <v>42947.0</v>
      </c>
      <c r="C470" s="119">
        <v>42954.0</v>
      </c>
      <c r="D470" s="120">
        <v>594426.0</v>
      </c>
      <c r="E470" s="33">
        <f>E469-88069.81</f>
        <v>412030.45</v>
      </c>
      <c r="F470" s="34"/>
      <c r="G470" s="29"/>
      <c r="H470" s="10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2.75" customHeight="1">
      <c r="A471" s="29"/>
      <c r="B471" s="119">
        <v>42978.0</v>
      </c>
      <c r="C471" s="119">
        <v>43011.0</v>
      </c>
      <c r="D471" s="120">
        <v>594772.0</v>
      </c>
      <c r="E471" s="33">
        <f>E470-328177.38</f>
        <v>83853.07</v>
      </c>
      <c r="F471" s="34"/>
      <c r="G471" s="29"/>
      <c r="H471" s="10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2.75" customHeight="1">
      <c r="A472" s="29"/>
      <c r="B472" s="119">
        <v>43007.0</v>
      </c>
      <c r="C472" s="119">
        <v>43024.0</v>
      </c>
      <c r="D472" s="120">
        <v>595119.0</v>
      </c>
      <c r="E472" s="33">
        <f>E471-83853.07</f>
        <v>0</v>
      </c>
      <c r="F472" s="34"/>
      <c r="G472" s="29"/>
      <c r="H472" s="10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2.75" customHeight="1">
      <c r="A473" s="29"/>
      <c r="B473" s="119">
        <v>43007.0</v>
      </c>
      <c r="C473" s="119">
        <v>43061.0</v>
      </c>
      <c r="D473" s="120">
        <v>595120.0</v>
      </c>
      <c r="E473" s="47">
        <f>E472-91411.95</f>
        <v>-91411.95</v>
      </c>
      <c r="F473" s="34"/>
      <c r="G473" s="29"/>
      <c r="H473" s="10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2.75" customHeight="1">
      <c r="A474" s="29"/>
      <c r="B474" s="119">
        <v>43039.0</v>
      </c>
      <c r="C474" s="119">
        <v>43062.0</v>
      </c>
      <c r="D474" s="120">
        <v>595511.0</v>
      </c>
      <c r="E474" s="47">
        <f>E473-20967.94</f>
        <v>-112379.89</v>
      </c>
      <c r="F474" s="34"/>
      <c r="G474" s="29"/>
      <c r="H474" s="10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2.75" customHeight="1">
      <c r="A475" s="29" t="s">
        <v>195</v>
      </c>
      <c r="B475" s="31">
        <v>42781.0</v>
      </c>
      <c r="C475" s="32">
        <v>3950.0</v>
      </c>
      <c r="D475" s="29" t="s">
        <v>1244</v>
      </c>
      <c r="E475" s="33">
        <v>30000.0</v>
      </c>
      <c r="F475" s="34">
        <v>43076.0</v>
      </c>
      <c r="G475" s="29" t="s">
        <v>1245</v>
      </c>
      <c r="H475" s="113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ht="12.75" customHeight="1">
      <c r="A476" s="29"/>
      <c r="B476" s="130">
        <v>42746.0</v>
      </c>
      <c r="C476" s="29"/>
      <c r="D476" s="135">
        <v>147.0</v>
      </c>
      <c r="E476" s="33">
        <f>E475-4171</f>
        <v>25829</v>
      </c>
      <c r="F476" s="34"/>
      <c r="G476" s="29"/>
      <c r="H476" s="113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ht="12.75" customHeight="1">
      <c r="A477" s="29"/>
      <c r="B477" s="130">
        <v>42787.0</v>
      </c>
      <c r="C477" s="29"/>
      <c r="D477" s="135">
        <v>148.0</v>
      </c>
      <c r="E477" s="33">
        <f>E476-7500</f>
        <v>18329</v>
      </c>
      <c r="F477" s="34"/>
      <c r="G477" s="29"/>
      <c r="H477" s="113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ht="12.75" customHeight="1">
      <c r="A478" s="29"/>
      <c r="B478" s="130">
        <v>42808.0</v>
      </c>
      <c r="C478" s="29"/>
      <c r="D478" s="135">
        <v>149.0</v>
      </c>
      <c r="E478" s="33">
        <f>E477-11169</f>
        <v>7160</v>
      </c>
      <c r="F478" s="34"/>
      <c r="G478" s="29"/>
      <c r="H478" s="113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ht="12.75" customHeight="1">
      <c r="A479" s="29"/>
      <c r="B479" s="130">
        <v>42851.0</v>
      </c>
      <c r="C479" s="29"/>
      <c r="D479" s="135">
        <v>153.0</v>
      </c>
      <c r="E479" s="33">
        <f>E478-7160</f>
        <v>0</v>
      </c>
      <c r="F479" s="34"/>
      <c r="G479" s="29"/>
      <c r="H479" s="113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ht="12.75" customHeight="1">
      <c r="A480" s="52" t="s">
        <v>195</v>
      </c>
      <c r="B480" s="53">
        <v>42867.0</v>
      </c>
      <c r="C480" s="54">
        <v>3950.0</v>
      </c>
      <c r="D480" s="52" t="s">
        <v>1246</v>
      </c>
      <c r="E480" s="55">
        <v>26254.5</v>
      </c>
      <c r="F480" s="56">
        <v>43076.0</v>
      </c>
      <c r="G480" s="52" t="s">
        <v>1247</v>
      </c>
      <c r="H480" s="19" t="s">
        <v>13</v>
      </c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ht="12.75" customHeight="1">
      <c r="A481" s="121"/>
      <c r="B481" s="256">
        <v>42851.0</v>
      </c>
      <c r="C481" s="121"/>
      <c r="D481" s="257">
        <v>153.0</v>
      </c>
      <c r="E481" s="59">
        <f>E480-7080</f>
        <v>19174.5</v>
      </c>
      <c r="F481" s="124"/>
      <c r="G481" s="121"/>
      <c r="H481" s="113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ht="12.75" customHeight="1">
      <c r="A482" s="121"/>
      <c r="B482" s="256">
        <v>42912.0</v>
      </c>
      <c r="C482" s="256">
        <v>42920.0</v>
      </c>
      <c r="D482" s="257">
        <v>156.0</v>
      </c>
      <c r="E482" s="59">
        <f>E481-348</f>
        <v>18826.5</v>
      </c>
      <c r="F482" s="124"/>
      <c r="G482" s="121"/>
      <c r="H482" s="113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ht="12.75" customHeight="1">
      <c r="A483" s="121"/>
      <c r="B483" s="256">
        <v>42912.0</v>
      </c>
      <c r="C483" s="256">
        <v>42920.0</v>
      </c>
      <c r="D483" s="257">
        <v>157.0</v>
      </c>
      <c r="E483" s="59">
        <f>E482-2187</f>
        <v>16639.5</v>
      </c>
      <c r="F483" s="124"/>
      <c r="G483" s="121"/>
      <c r="H483" s="113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ht="12.75" customHeight="1">
      <c r="A484" s="121"/>
      <c r="B484" s="256">
        <v>42927.0</v>
      </c>
      <c r="C484" s="256">
        <v>42944.0</v>
      </c>
      <c r="D484" s="257">
        <v>159.0</v>
      </c>
      <c r="E484" s="59">
        <v>9440.5</v>
      </c>
      <c r="F484" s="124"/>
      <c r="G484" s="121"/>
      <c r="H484" s="113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ht="12.75" customHeight="1">
      <c r="A485" s="121"/>
      <c r="B485" s="256">
        <v>42964.0</v>
      </c>
      <c r="C485" s="256">
        <v>42978.0</v>
      </c>
      <c r="D485" s="257">
        <v>161.0</v>
      </c>
      <c r="E485" s="59">
        <f>E484-7624</f>
        <v>1816.5</v>
      </c>
      <c r="F485" s="124"/>
      <c r="G485" s="121"/>
      <c r="H485" s="113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ht="12.75" customHeight="1">
      <c r="A486" s="121"/>
      <c r="B486" s="256">
        <v>42999.0</v>
      </c>
      <c r="C486" s="256">
        <v>43011.0</v>
      </c>
      <c r="D486" s="257">
        <v>163.0</v>
      </c>
      <c r="E486" s="47">
        <f>E485-9424</f>
        <v>-7607.5</v>
      </c>
      <c r="F486" s="124"/>
      <c r="G486" s="121"/>
      <c r="H486" s="113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ht="12.75" customHeight="1">
      <c r="A487" s="121"/>
      <c r="B487" s="256">
        <v>43027.0</v>
      </c>
      <c r="C487" s="256">
        <v>43033.0</v>
      </c>
      <c r="D487" s="257">
        <v>165.0</v>
      </c>
      <c r="E487" s="47">
        <f>E486-8482</f>
        <v>-16089.5</v>
      </c>
      <c r="F487" s="124"/>
      <c r="G487" s="121"/>
      <c r="H487" s="113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ht="12.75" customHeight="1">
      <c r="A488" s="121"/>
      <c r="B488" s="256">
        <v>43047.0</v>
      </c>
      <c r="C488" s="256">
        <v>43062.0</v>
      </c>
      <c r="D488" s="257">
        <v>166.0</v>
      </c>
      <c r="E488" s="47">
        <f>E487-7304</f>
        <v>-23393.5</v>
      </c>
      <c r="F488" s="124"/>
      <c r="G488" s="121"/>
      <c r="H488" s="113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ht="12.75" customHeight="1">
      <c r="A489" s="29" t="s">
        <v>1256</v>
      </c>
      <c r="B489" s="31">
        <v>42826.0</v>
      </c>
      <c r="C489" s="29">
        <v>3036.0</v>
      </c>
      <c r="D489" s="29" t="s">
        <v>1257</v>
      </c>
      <c r="E489" s="33">
        <v>6500.0</v>
      </c>
      <c r="F489" s="34">
        <v>43189.0</v>
      </c>
      <c r="G489" s="29" t="s">
        <v>628</v>
      </c>
      <c r="H489" s="113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ht="12.75" customHeight="1">
      <c r="A490" s="29"/>
      <c r="B490" s="119">
        <v>42877.0</v>
      </c>
      <c r="C490" s="119">
        <v>42884.0</v>
      </c>
      <c r="D490" s="120">
        <v>16477.0</v>
      </c>
      <c r="E490" s="33">
        <f>E489-6500</f>
        <v>0</v>
      </c>
      <c r="F490" s="34"/>
      <c r="G490" s="29"/>
      <c r="H490" s="113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ht="12.75" customHeight="1">
      <c r="A491" s="52" t="s">
        <v>1256</v>
      </c>
      <c r="B491" s="53">
        <v>42866.0</v>
      </c>
      <c r="C491" s="52">
        <v>3036.0</v>
      </c>
      <c r="D491" s="52" t="s">
        <v>1258</v>
      </c>
      <c r="E491" s="55">
        <v>13061.0</v>
      </c>
      <c r="F491" s="56">
        <v>43208.0</v>
      </c>
      <c r="G491" s="52" t="s">
        <v>1129</v>
      </c>
      <c r="H491" s="113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ht="12.75" customHeight="1">
      <c r="A492" s="29" t="s">
        <v>1259</v>
      </c>
      <c r="B492" s="31">
        <v>42828.0</v>
      </c>
      <c r="C492" s="29">
        <v>3016.0</v>
      </c>
      <c r="D492" s="29" t="s">
        <v>1260</v>
      </c>
      <c r="E492" s="33">
        <v>899.4</v>
      </c>
      <c r="F492" s="34">
        <v>43091.0</v>
      </c>
      <c r="G492" s="29" t="s">
        <v>1261</v>
      </c>
      <c r="H492" s="10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2.75" customHeight="1">
      <c r="A493" s="29"/>
      <c r="B493" s="31">
        <v>43049.0</v>
      </c>
      <c r="C493" s="148">
        <v>43062.0</v>
      </c>
      <c r="D493" s="29">
        <v>5900.0</v>
      </c>
      <c r="E493" s="33">
        <f>E492-899.4</f>
        <v>0</v>
      </c>
      <c r="F493" s="34"/>
      <c r="G493" s="29"/>
      <c r="H493" s="10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2.75" customHeight="1">
      <c r="A494" s="29" t="s">
        <v>1262</v>
      </c>
      <c r="B494" s="31">
        <v>42908.0</v>
      </c>
      <c r="C494" s="29">
        <v>3016.0</v>
      </c>
      <c r="D494" s="29" t="s">
        <v>1263</v>
      </c>
      <c r="E494" s="33">
        <v>1086.98</v>
      </c>
      <c r="F494" s="34"/>
      <c r="G494" s="29" t="s">
        <v>590</v>
      </c>
      <c r="H494" s="10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2.75" customHeight="1">
      <c r="A495" s="29"/>
      <c r="B495" s="31">
        <v>42941.0</v>
      </c>
      <c r="C495" s="148">
        <v>42955.0</v>
      </c>
      <c r="D495" s="29">
        <v>13235.0</v>
      </c>
      <c r="E495" s="33">
        <f>E494-1086.98</f>
        <v>0</v>
      </c>
      <c r="F495" s="34"/>
      <c r="G495" s="29"/>
      <c r="H495" s="10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2.75" customHeight="1">
      <c r="A496" s="29" t="s">
        <v>1264</v>
      </c>
      <c r="B496" s="31">
        <v>42828.0</v>
      </c>
      <c r="C496" s="29">
        <v>3009.0</v>
      </c>
      <c r="D496" s="29" t="s">
        <v>1265</v>
      </c>
      <c r="E496" s="33">
        <v>2505.0</v>
      </c>
      <c r="F496" s="34">
        <v>43112.0</v>
      </c>
      <c r="G496" s="29" t="s">
        <v>995</v>
      </c>
      <c r="H496" s="113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ht="12.75" customHeight="1">
      <c r="A497" s="29"/>
      <c r="B497" s="119">
        <v>42879.0</v>
      </c>
      <c r="C497" s="119">
        <v>42887.0</v>
      </c>
      <c r="D497" s="120">
        <v>15747.0</v>
      </c>
      <c r="E497" s="33">
        <f>E496-2505</f>
        <v>0</v>
      </c>
      <c r="F497" s="34"/>
      <c r="G497" s="29"/>
      <c r="H497" s="113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ht="12.75" customHeight="1">
      <c r="A498" s="29" t="s">
        <v>917</v>
      </c>
      <c r="B498" s="31">
        <v>42864.0</v>
      </c>
      <c r="C498" s="29">
        <v>3036.0</v>
      </c>
      <c r="D498" s="29" t="s">
        <v>1266</v>
      </c>
      <c r="E498" s="33">
        <v>23994.0</v>
      </c>
      <c r="F498" s="34">
        <v>43047.0</v>
      </c>
      <c r="G498" s="29" t="s">
        <v>997</v>
      </c>
      <c r="H498" s="10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2.75" customHeight="1">
      <c r="A499" s="29"/>
      <c r="B499" s="31">
        <v>43014.0</v>
      </c>
      <c r="C499" s="148">
        <v>43049.0</v>
      </c>
      <c r="D499" s="29">
        <v>195412.0</v>
      </c>
      <c r="E499" s="33">
        <f>E498-12534</f>
        <v>11460</v>
      </c>
      <c r="F499" s="34"/>
      <c r="G499" s="29"/>
      <c r="H499" s="10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2.75" customHeight="1">
      <c r="A500" s="29"/>
      <c r="B500" s="31">
        <v>43031.0</v>
      </c>
      <c r="C500" s="148">
        <v>43049.0</v>
      </c>
      <c r="D500" s="29">
        <v>196812.0</v>
      </c>
      <c r="E500" s="33">
        <f t="shared" ref="E500:E501" si="7">E499-1910</f>
        <v>9550</v>
      </c>
      <c r="F500" s="34"/>
      <c r="G500" s="29"/>
      <c r="H500" s="10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2.75" customHeight="1">
      <c r="A501" s="29"/>
      <c r="B501" s="31">
        <v>43033.0</v>
      </c>
      <c r="C501" s="148">
        <v>43049.0</v>
      </c>
      <c r="D501" s="29">
        <v>197032.0</v>
      </c>
      <c r="E501" s="33">
        <f t="shared" si="7"/>
        <v>7640</v>
      </c>
      <c r="F501" s="34"/>
      <c r="G501" s="29"/>
      <c r="H501" s="10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2.75" customHeight="1">
      <c r="A502" s="29"/>
      <c r="B502" s="31">
        <v>43039.0</v>
      </c>
      <c r="C502" s="148">
        <v>43049.0</v>
      </c>
      <c r="D502" s="29">
        <v>197972.0</v>
      </c>
      <c r="E502" s="33">
        <f>E501-7640</f>
        <v>0</v>
      </c>
      <c r="F502" s="34"/>
      <c r="G502" s="29"/>
      <c r="H502" s="10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2.75" customHeight="1">
      <c r="A503" s="52" t="s">
        <v>920</v>
      </c>
      <c r="B503" s="53">
        <v>42800.0</v>
      </c>
      <c r="C503" s="52">
        <v>3912.0</v>
      </c>
      <c r="D503" s="52" t="s">
        <v>1267</v>
      </c>
      <c r="E503" s="55">
        <v>23000.0</v>
      </c>
      <c r="F503" s="56">
        <v>43164.0</v>
      </c>
      <c r="G503" s="52" t="s">
        <v>1268</v>
      </c>
      <c r="H503" s="113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ht="12.75" customHeight="1">
      <c r="A504" s="121"/>
      <c r="B504" s="256">
        <v>42878.0</v>
      </c>
      <c r="C504" s="256">
        <v>42948.0</v>
      </c>
      <c r="D504" s="257">
        <v>3798.0</v>
      </c>
      <c r="E504" s="59">
        <f t="shared" ref="E504:E507" si="8">E503-5589.66</f>
        <v>17410.34</v>
      </c>
      <c r="F504" s="124"/>
      <c r="G504" s="121"/>
      <c r="H504" s="113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ht="12.75" customHeight="1">
      <c r="A505" s="121"/>
      <c r="B505" s="256">
        <v>42906.0</v>
      </c>
      <c r="C505" s="256">
        <v>42948.0</v>
      </c>
      <c r="D505" s="257">
        <v>3884.0</v>
      </c>
      <c r="E505" s="59">
        <f t="shared" si="8"/>
        <v>11820.68</v>
      </c>
      <c r="F505" s="124"/>
      <c r="G505" s="121"/>
      <c r="H505" s="113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ht="12.75" customHeight="1">
      <c r="A506" s="121"/>
      <c r="B506" s="256">
        <v>42947.0</v>
      </c>
      <c r="C506" s="256">
        <v>42956.0</v>
      </c>
      <c r="D506" s="257">
        <v>4069.0</v>
      </c>
      <c r="E506" s="59">
        <f t="shared" si="8"/>
        <v>6231.02</v>
      </c>
      <c r="F506" s="124"/>
      <c r="G506" s="121"/>
      <c r="H506" s="113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ht="12.75" customHeight="1">
      <c r="A507" s="121"/>
      <c r="B507" s="256">
        <v>43061.0</v>
      </c>
      <c r="C507" s="256">
        <v>43062.0</v>
      </c>
      <c r="D507" s="257">
        <v>1132.0</v>
      </c>
      <c r="E507" s="59">
        <f t="shared" si="8"/>
        <v>641.36</v>
      </c>
      <c r="F507" s="124"/>
      <c r="G507" s="121"/>
      <c r="H507" s="113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ht="12.75" customHeight="1">
      <c r="A508" s="121"/>
      <c r="B508" s="256">
        <v>43061.0</v>
      </c>
      <c r="C508" s="256">
        <v>43062.0</v>
      </c>
      <c r="D508" s="257">
        <v>1133.0</v>
      </c>
      <c r="E508" s="59">
        <f>E507-E507</f>
        <v>0</v>
      </c>
      <c r="F508" s="124"/>
      <c r="G508" s="121"/>
      <c r="H508" s="113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ht="12.75" customHeight="1">
      <c r="A509" s="52" t="s">
        <v>920</v>
      </c>
      <c r="B509" s="53">
        <v>42885.0</v>
      </c>
      <c r="C509" s="52">
        <v>3912.0</v>
      </c>
      <c r="D509" s="52" t="s">
        <v>1274</v>
      </c>
      <c r="E509" s="55">
        <v>44075.92</v>
      </c>
      <c r="F509" s="56">
        <v>43164.0</v>
      </c>
      <c r="G509" s="52" t="s">
        <v>1275</v>
      </c>
      <c r="H509" s="113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ht="12.75" customHeight="1">
      <c r="A510" s="121"/>
      <c r="B510" s="139">
        <v>43061.0</v>
      </c>
      <c r="C510" s="140">
        <v>43062.0</v>
      </c>
      <c r="D510" s="121">
        <v>1133.0</v>
      </c>
      <c r="E510" s="59">
        <f>E509-4948.3</f>
        <v>39127.62</v>
      </c>
      <c r="F510" s="124"/>
      <c r="G510" s="121"/>
      <c r="H510" s="113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ht="12.75" customHeight="1">
      <c r="A511" s="121"/>
      <c r="B511" s="139">
        <v>43061.0</v>
      </c>
      <c r="C511" s="140">
        <v>43062.0</v>
      </c>
      <c r="D511" s="121">
        <v>1134.0</v>
      </c>
      <c r="E511" s="59">
        <f t="shared" ref="E511:E515" si="9">E510-5589.66</f>
        <v>33537.96</v>
      </c>
      <c r="F511" s="124"/>
      <c r="G511" s="121"/>
      <c r="H511" s="113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ht="12.75" customHeight="1">
      <c r="A512" s="121"/>
      <c r="B512" s="139">
        <v>43061.0</v>
      </c>
      <c r="C512" s="140">
        <v>43062.0</v>
      </c>
      <c r="D512" s="121">
        <v>1135.0</v>
      </c>
      <c r="E512" s="59">
        <f t="shared" si="9"/>
        <v>27948.3</v>
      </c>
      <c r="F512" s="124"/>
      <c r="G512" s="121"/>
      <c r="H512" s="113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ht="12.75" customHeight="1">
      <c r="A513" s="121"/>
      <c r="B513" s="139">
        <v>43061.0</v>
      </c>
      <c r="C513" s="140">
        <v>43062.0</v>
      </c>
      <c r="D513" s="121">
        <v>1137.0</v>
      </c>
      <c r="E513" s="59">
        <f t="shared" si="9"/>
        <v>22358.64</v>
      </c>
      <c r="F513" s="124"/>
      <c r="G513" s="121"/>
      <c r="H513" s="113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ht="12.75" customHeight="1">
      <c r="A514" s="121"/>
      <c r="B514" s="139">
        <v>43061.0</v>
      </c>
      <c r="C514" s="140">
        <v>43062.0</v>
      </c>
      <c r="D514" s="121">
        <v>1140.0</v>
      </c>
      <c r="E514" s="59">
        <f t="shared" si="9"/>
        <v>16768.98</v>
      </c>
      <c r="F514" s="124"/>
      <c r="G514" s="121"/>
      <c r="H514" s="113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ht="12.75" customHeight="1">
      <c r="A515" s="121"/>
      <c r="B515" s="139">
        <v>43061.0</v>
      </c>
      <c r="C515" s="140">
        <v>43062.0</v>
      </c>
      <c r="D515" s="121">
        <v>1141.0</v>
      </c>
      <c r="E515" s="59">
        <f t="shared" si="9"/>
        <v>11179.32</v>
      </c>
      <c r="F515" s="124"/>
      <c r="G515" s="121"/>
      <c r="H515" s="113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ht="12.75" customHeight="1">
      <c r="A516" s="52" t="s">
        <v>920</v>
      </c>
      <c r="B516" s="53">
        <v>43040.0</v>
      </c>
      <c r="C516" s="52">
        <v>3035.0</v>
      </c>
      <c r="D516" s="52" t="s">
        <v>1278</v>
      </c>
      <c r="E516" s="55">
        <v>25000.0</v>
      </c>
      <c r="F516" s="56">
        <v>43395.0</v>
      </c>
      <c r="G516" s="52" t="s">
        <v>1279</v>
      </c>
      <c r="H516" s="113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ht="12.75" customHeight="1">
      <c r="A517" s="52" t="s">
        <v>261</v>
      </c>
      <c r="B517" s="53">
        <v>42837.0</v>
      </c>
      <c r="C517" s="52">
        <v>3912.0</v>
      </c>
      <c r="D517" s="52" t="s">
        <v>1280</v>
      </c>
      <c r="E517" s="55">
        <v>27600.0</v>
      </c>
      <c r="F517" s="56">
        <v>43201.0</v>
      </c>
      <c r="G517" s="52" t="s">
        <v>1281</v>
      </c>
      <c r="H517" s="113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ht="12.75" customHeight="1">
      <c r="A518" s="50"/>
      <c r="B518" s="122">
        <v>42872.0</v>
      </c>
      <c r="C518" s="122">
        <v>42922.0</v>
      </c>
      <c r="D518" s="123">
        <v>33.0</v>
      </c>
      <c r="E518" s="59">
        <f t="shared" ref="E518:E524" si="10">E517-2300</f>
        <v>25300</v>
      </c>
      <c r="F518" s="60"/>
      <c r="G518" s="50"/>
      <c r="H518" s="113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ht="12.75" customHeight="1">
      <c r="A519" s="50"/>
      <c r="B519" s="122">
        <v>42916.0</v>
      </c>
      <c r="C519" s="122">
        <v>42922.0</v>
      </c>
      <c r="D519" s="123">
        <v>35.0</v>
      </c>
      <c r="E519" s="59">
        <f t="shared" si="10"/>
        <v>23000</v>
      </c>
      <c r="F519" s="60"/>
      <c r="G519" s="50"/>
      <c r="H519" s="113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ht="12.75" customHeight="1">
      <c r="A520" s="50"/>
      <c r="B520" s="122">
        <v>42944.0</v>
      </c>
      <c r="C520" s="122">
        <v>42965.0</v>
      </c>
      <c r="D520" s="123">
        <v>38.0</v>
      </c>
      <c r="E520" s="59">
        <f t="shared" si="10"/>
        <v>20700</v>
      </c>
      <c r="F520" s="60"/>
      <c r="G520" s="50"/>
      <c r="H520" s="113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ht="12.75" customHeight="1">
      <c r="A521" s="50"/>
      <c r="B521" s="122">
        <v>42978.0</v>
      </c>
      <c r="C521" s="122">
        <v>42983.0</v>
      </c>
      <c r="D521" s="123">
        <v>42.0</v>
      </c>
      <c r="E521" s="59">
        <f t="shared" si="10"/>
        <v>18400</v>
      </c>
      <c r="F521" s="60"/>
      <c r="G521" s="50"/>
      <c r="H521" s="113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ht="12.75" customHeight="1">
      <c r="A522" s="50"/>
      <c r="B522" s="122">
        <v>43005.0</v>
      </c>
      <c r="C522" s="122">
        <v>43013.0</v>
      </c>
      <c r="D522" s="123">
        <v>43.0</v>
      </c>
      <c r="E522" s="59">
        <f t="shared" si="10"/>
        <v>16100</v>
      </c>
      <c r="F522" s="60"/>
      <c r="G522" s="50"/>
      <c r="H522" s="113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ht="12.75" customHeight="1">
      <c r="A523" s="50"/>
      <c r="B523" s="122">
        <v>43060.0</v>
      </c>
      <c r="C523" s="122">
        <v>43062.0</v>
      </c>
      <c r="D523" s="123">
        <v>45.0</v>
      </c>
      <c r="E523" s="59">
        <f t="shared" si="10"/>
        <v>13800</v>
      </c>
      <c r="F523" s="60"/>
      <c r="G523" s="50"/>
      <c r="H523" s="113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2.75" customHeight="1">
      <c r="A524" s="50"/>
      <c r="B524" s="122">
        <v>43039.0</v>
      </c>
      <c r="C524" s="122">
        <v>43062.0</v>
      </c>
      <c r="D524" s="123">
        <v>44.0</v>
      </c>
      <c r="E524" s="59">
        <f t="shared" si="10"/>
        <v>11500</v>
      </c>
      <c r="F524" s="60"/>
      <c r="G524" s="50"/>
      <c r="H524" s="113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ht="12.75" customHeight="1">
      <c r="A525" s="29" t="s">
        <v>1283</v>
      </c>
      <c r="B525" s="31">
        <v>42908.0</v>
      </c>
      <c r="C525" s="29">
        <v>3016.0</v>
      </c>
      <c r="D525" s="29" t="s">
        <v>1284</v>
      </c>
      <c r="E525" s="33">
        <v>7550.73</v>
      </c>
      <c r="F525" s="34"/>
      <c r="G525" s="29" t="s">
        <v>590</v>
      </c>
      <c r="H525" s="10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2.75" customHeight="1">
      <c r="A526" s="29"/>
      <c r="B526" s="31">
        <v>42927.0</v>
      </c>
      <c r="C526" s="148">
        <v>42955.0</v>
      </c>
      <c r="D526" s="29">
        <v>5048.0</v>
      </c>
      <c r="E526" s="33">
        <f>E525-7550.73</f>
        <v>0</v>
      </c>
      <c r="F526" s="34"/>
      <c r="G526" s="29"/>
      <c r="H526" s="10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2.75" customHeight="1">
      <c r="A527" s="29" t="s">
        <v>1288</v>
      </c>
      <c r="B527" s="31">
        <v>42828.0</v>
      </c>
      <c r="C527" s="29">
        <v>3009.0</v>
      </c>
      <c r="D527" s="29" t="s">
        <v>1289</v>
      </c>
      <c r="E527" s="33">
        <v>1320.0</v>
      </c>
      <c r="F527" s="34">
        <v>43112.0</v>
      </c>
      <c r="G527" s="29" t="s">
        <v>995</v>
      </c>
      <c r="H527" s="113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ht="12.75" customHeight="1">
      <c r="A528" s="29"/>
      <c r="B528" s="119">
        <v>42892.0</v>
      </c>
      <c r="C528" s="119">
        <v>42895.0</v>
      </c>
      <c r="D528" s="120">
        <v>49002.0</v>
      </c>
      <c r="E528" s="33">
        <f>E527-1320</f>
        <v>0</v>
      </c>
      <c r="F528" s="34"/>
      <c r="G528" s="29"/>
      <c r="H528" s="113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ht="12.75" customHeight="1">
      <c r="A529" s="29" t="s">
        <v>1290</v>
      </c>
      <c r="B529" s="31">
        <v>42835.0</v>
      </c>
      <c r="C529" s="29">
        <v>3022.0</v>
      </c>
      <c r="D529" s="29" t="s">
        <v>1291</v>
      </c>
      <c r="E529" s="33">
        <v>7794.11</v>
      </c>
      <c r="F529" s="34"/>
      <c r="G529" s="29" t="s">
        <v>846</v>
      </c>
      <c r="H529" s="113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ht="12.75" customHeight="1">
      <c r="A530" s="29"/>
      <c r="B530" s="119">
        <v>42909.0</v>
      </c>
      <c r="C530" s="119">
        <v>42948.0</v>
      </c>
      <c r="D530" s="120">
        <v>9249.0</v>
      </c>
      <c r="E530" s="33">
        <f>E529-5599</f>
        <v>2195.11</v>
      </c>
      <c r="F530" s="34"/>
      <c r="G530" s="29"/>
      <c r="H530" s="113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ht="12.75" customHeight="1">
      <c r="A531" s="29"/>
      <c r="B531" s="119">
        <v>42909.0</v>
      </c>
      <c r="C531" s="119">
        <v>42948.0</v>
      </c>
      <c r="D531" s="120">
        <v>9252.0</v>
      </c>
      <c r="E531" s="33">
        <f>E530-171.6</f>
        <v>2023.51</v>
      </c>
      <c r="F531" s="34"/>
      <c r="G531" s="29"/>
      <c r="H531" s="113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ht="12.75" customHeight="1">
      <c r="A532" s="29"/>
      <c r="B532" s="119">
        <v>42935.0</v>
      </c>
      <c r="C532" s="119">
        <v>42948.0</v>
      </c>
      <c r="D532" s="120">
        <v>9512.0</v>
      </c>
      <c r="E532" s="33">
        <f>E531-2023.51</f>
        <v>0</v>
      </c>
      <c r="F532" s="34"/>
      <c r="G532" s="29"/>
      <c r="H532" s="113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ht="12.75" customHeight="1">
      <c r="A533" s="29" t="s">
        <v>1290</v>
      </c>
      <c r="B533" s="31">
        <v>42983.0</v>
      </c>
      <c r="C533" s="29">
        <v>3022.0</v>
      </c>
      <c r="D533" s="29" t="s">
        <v>1294</v>
      </c>
      <c r="E533" s="33">
        <v>6090.0</v>
      </c>
      <c r="F533" s="34"/>
      <c r="G533" s="29" t="s">
        <v>1295</v>
      </c>
      <c r="H533" s="113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ht="12.75" customHeight="1">
      <c r="A534" s="29"/>
      <c r="B534" s="119">
        <v>43003.0</v>
      </c>
      <c r="C534" s="119">
        <v>43005.0</v>
      </c>
      <c r="D534" s="120">
        <v>10349.0</v>
      </c>
      <c r="E534" s="33">
        <f>E533-6090</f>
        <v>0</v>
      </c>
      <c r="F534" s="34"/>
      <c r="G534" s="29"/>
      <c r="H534" s="113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ht="12.75" customHeight="1">
      <c r="A535" s="29" t="s">
        <v>1296</v>
      </c>
      <c r="B535" s="31">
        <v>42908.0</v>
      </c>
      <c r="C535" s="29">
        <v>3016.0</v>
      </c>
      <c r="D535" s="29" t="s">
        <v>1297</v>
      </c>
      <c r="E535" s="33">
        <v>8303.18</v>
      </c>
      <c r="F535" s="34"/>
      <c r="G535" s="29" t="s">
        <v>590</v>
      </c>
      <c r="H535" s="10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2.75" customHeight="1">
      <c r="A536" s="29"/>
      <c r="B536" s="31">
        <v>42994.0</v>
      </c>
      <c r="C536" s="148">
        <v>43014.0</v>
      </c>
      <c r="D536" s="29">
        <v>3307.0</v>
      </c>
      <c r="E536" s="33">
        <f>E535-8303.18</f>
        <v>0</v>
      </c>
      <c r="F536" s="34"/>
      <c r="G536" s="29"/>
      <c r="H536" s="10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2.75" customHeight="1">
      <c r="A537" s="52" t="s">
        <v>285</v>
      </c>
      <c r="B537" s="53">
        <v>42979.0</v>
      </c>
      <c r="C537" s="52">
        <v>3950.0</v>
      </c>
      <c r="D537" s="52" t="s">
        <v>1298</v>
      </c>
      <c r="E537" s="55">
        <v>20000.0</v>
      </c>
      <c r="F537" s="56"/>
      <c r="G537" s="52" t="s">
        <v>1230</v>
      </c>
      <c r="H537" s="113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ht="12.75" customHeight="1">
      <c r="A538" s="121"/>
      <c r="B538" s="139">
        <v>43010.0</v>
      </c>
      <c r="C538" s="140">
        <v>43033.0</v>
      </c>
      <c r="D538" s="121">
        <v>4722.0</v>
      </c>
      <c r="E538" s="59">
        <f>E537-11868.05</f>
        <v>8131.95</v>
      </c>
      <c r="F538" s="124"/>
      <c r="G538" s="121"/>
      <c r="H538" s="113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ht="12.75" customHeight="1">
      <c r="A539" s="52" t="s">
        <v>285</v>
      </c>
      <c r="B539" s="53">
        <v>43032.0</v>
      </c>
      <c r="C539" s="52">
        <v>3950.0</v>
      </c>
      <c r="D539" s="52" t="s">
        <v>1299</v>
      </c>
      <c r="E539" s="55">
        <v>100000.0</v>
      </c>
      <c r="F539" s="56"/>
      <c r="G539" s="52" t="s">
        <v>1234</v>
      </c>
      <c r="H539" s="113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ht="12.75" customHeight="1">
      <c r="A540" s="29" t="s">
        <v>1032</v>
      </c>
      <c r="B540" s="31">
        <v>42835.0</v>
      </c>
      <c r="C540" s="29">
        <v>3022.0</v>
      </c>
      <c r="D540" s="29" t="s">
        <v>1300</v>
      </c>
      <c r="E540" s="33">
        <v>22438.62</v>
      </c>
      <c r="F540" s="34"/>
      <c r="G540" s="29" t="s">
        <v>846</v>
      </c>
      <c r="H540" s="113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ht="12.75" customHeight="1">
      <c r="A541" s="29"/>
      <c r="B541" s="119">
        <v>42899.0</v>
      </c>
      <c r="C541" s="119">
        <v>42923.0</v>
      </c>
      <c r="D541" s="120">
        <v>4436.0</v>
      </c>
      <c r="E541" s="33">
        <f>E540-14848.18</f>
        <v>7590.44</v>
      </c>
      <c r="F541" s="34"/>
      <c r="G541" s="29"/>
      <c r="H541" s="113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ht="12.75" customHeight="1">
      <c r="A542" s="29"/>
      <c r="B542" s="119">
        <v>42908.0</v>
      </c>
      <c r="C542" s="119">
        <v>42923.0</v>
      </c>
      <c r="D542" s="120">
        <v>4466.0</v>
      </c>
      <c r="E542" s="33">
        <f>E541-7590.44</f>
        <v>0</v>
      </c>
      <c r="F542" s="34"/>
      <c r="G542" s="29"/>
      <c r="H542" s="113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ht="12.75" customHeight="1">
      <c r="A543" s="29" t="s">
        <v>1035</v>
      </c>
      <c r="B543" s="31">
        <v>42828.0</v>
      </c>
      <c r="C543" s="29">
        <v>3950.0</v>
      </c>
      <c r="D543" s="29" t="s">
        <v>1304</v>
      </c>
      <c r="E543" s="33">
        <v>241500.0</v>
      </c>
      <c r="F543" s="34"/>
      <c r="G543" s="29" t="s">
        <v>1305</v>
      </c>
      <c r="H543" s="1"/>
      <c r="I543" s="1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29"/>
      <c r="B544" s="41">
        <v>42829.0</v>
      </c>
      <c r="C544" s="32"/>
      <c r="D544" s="42">
        <v>145.0</v>
      </c>
      <c r="E544" s="33">
        <f>E543-37955.6</f>
        <v>203544.4</v>
      </c>
      <c r="F544" s="34"/>
      <c r="G544" s="29"/>
      <c r="H544" s="113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ht="12.75" customHeight="1">
      <c r="A545" s="29"/>
      <c r="B545" s="41">
        <v>42860.0</v>
      </c>
      <c r="C545" s="41">
        <v>42887.0</v>
      </c>
      <c r="D545" s="42">
        <v>149.0</v>
      </c>
      <c r="E545" s="33">
        <f>E544-78353.03</f>
        <v>125191.37</v>
      </c>
      <c r="F545" s="34"/>
      <c r="G545" s="29"/>
      <c r="H545" s="113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ht="12.75" customHeight="1">
      <c r="A546" s="29"/>
      <c r="B546" s="41">
        <v>42891.0</v>
      </c>
      <c r="C546" s="41">
        <v>42920.0</v>
      </c>
      <c r="D546" s="42">
        <v>154.0</v>
      </c>
      <c r="E546" s="33">
        <f>E545-81022.92</f>
        <v>44168.45</v>
      </c>
      <c r="F546" s="34"/>
      <c r="G546" s="29"/>
      <c r="H546" s="113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ht="12.75" customHeight="1">
      <c r="A547" s="29"/>
      <c r="B547" s="41">
        <v>42922.0</v>
      </c>
      <c r="C547" s="41">
        <v>42948.0</v>
      </c>
      <c r="D547" s="42">
        <v>155.0</v>
      </c>
      <c r="E547" s="33">
        <f>E546-44168.45</f>
        <v>0</v>
      </c>
      <c r="F547" s="34"/>
      <c r="G547" s="29"/>
      <c r="H547" s="113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ht="12.75" customHeight="1">
      <c r="A548" s="29" t="s">
        <v>1035</v>
      </c>
      <c r="B548" s="31">
        <v>42850.0</v>
      </c>
      <c r="C548" s="29">
        <v>3950.0</v>
      </c>
      <c r="D548" s="29" t="s">
        <v>1311</v>
      </c>
      <c r="E548" s="33">
        <v>50000.0</v>
      </c>
      <c r="F548" s="34"/>
      <c r="G548" s="29" t="s">
        <v>1305</v>
      </c>
      <c r="H548" s="19" t="s">
        <v>13</v>
      </c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ht="12.75" customHeight="1">
      <c r="A549" s="29"/>
      <c r="B549" s="41">
        <v>42922.0</v>
      </c>
      <c r="C549" s="41">
        <v>42948.0</v>
      </c>
      <c r="D549" s="42">
        <v>155.0</v>
      </c>
      <c r="E549" s="33">
        <f>E548-34293.55</f>
        <v>15706.45</v>
      </c>
      <c r="F549" s="34"/>
      <c r="G549" s="29"/>
      <c r="H549" s="113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ht="12.75" customHeight="1">
      <c r="A550" s="29"/>
      <c r="B550" s="41">
        <v>42953.0</v>
      </c>
      <c r="C550" s="41">
        <v>42962.0</v>
      </c>
      <c r="D550" s="42">
        <v>158.0</v>
      </c>
      <c r="E550" s="33">
        <f>E549-15706.45</f>
        <v>0</v>
      </c>
      <c r="F550" s="34"/>
      <c r="G550" s="29"/>
      <c r="H550" s="113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ht="12.75" customHeight="1">
      <c r="A551" s="52" t="s">
        <v>1035</v>
      </c>
      <c r="B551" s="53">
        <v>42867.0</v>
      </c>
      <c r="C551" s="52">
        <v>3950.0</v>
      </c>
      <c r="D551" s="52" t="s">
        <v>1315</v>
      </c>
      <c r="E551" s="55">
        <v>160000.0</v>
      </c>
      <c r="F551" s="56"/>
      <c r="G551" s="52" t="s">
        <v>1316</v>
      </c>
      <c r="H551" s="19" t="s">
        <v>13</v>
      </c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ht="12.75" customHeight="1">
      <c r="A552" s="50"/>
      <c r="B552" s="61">
        <v>42953.0</v>
      </c>
      <c r="C552" s="61">
        <v>42962.0</v>
      </c>
      <c r="D552" s="62">
        <v>158.0</v>
      </c>
      <c r="E552" s="59">
        <f>E551-65370.95</f>
        <v>94629.05</v>
      </c>
      <c r="F552" s="60"/>
      <c r="G552" s="50"/>
      <c r="H552" s="113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ht="12.75" customHeight="1">
      <c r="A553" s="50"/>
      <c r="B553" s="61">
        <v>42982.0</v>
      </c>
      <c r="C553" s="61">
        <v>43003.0</v>
      </c>
      <c r="D553" s="62">
        <v>161.0</v>
      </c>
      <c r="E553" s="59">
        <f>E552-81077.4</f>
        <v>13551.65</v>
      </c>
      <c r="F553" s="60"/>
      <c r="G553" s="50"/>
      <c r="H553" s="113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ht="12.75" customHeight="1">
      <c r="A554" s="50"/>
      <c r="B554" s="61">
        <v>43015.0</v>
      </c>
      <c r="C554" s="61">
        <v>43024.0</v>
      </c>
      <c r="D554" s="62">
        <v>165.0</v>
      </c>
      <c r="E554" s="47">
        <f>E553-78462</f>
        <v>-64910.35</v>
      </c>
      <c r="F554" s="60"/>
      <c r="G554" s="50"/>
      <c r="H554" s="113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ht="12.75" customHeight="1">
      <c r="A555" s="50"/>
      <c r="B555" s="61">
        <v>43041.0</v>
      </c>
      <c r="C555" s="61">
        <v>43062.0</v>
      </c>
      <c r="D555" s="62">
        <v>168.0</v>
      </c>
      <c r="E555" s="47">
        <f>E554-81077.4</f>
        <v>-145987.75</v>
      </c>
      <c r="F555" s="60"/>
      <c r="G555" s="50"/>
      <c r="H555" s="113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ht="12.75" customHeight="1">
      <c r="A556" s="52" t="s">
        <v>1320</v>
      </c>
      <c r="B556" s="53">
        <v>43046.0</v>
      </c>
      <c r="C556" s="52">
        <v>3036.0</v>
      </c>
      <c r="D556" s="52" t="s">
        <v>1321</v>
      </c>
      <c r="E556" s="55">
        <v>7701.84</v>
      </c>
      <c r="F556" s="56">
        <v>43410.0</v>
      </c>
      <c r="G556" s="52" t="s">
        <v>1322</v>
      </c>
      <c r="H556" s="113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ht="12.75" customHeight="1">
      <c r="A557" s="52" t="s">
        <v>1320</v>
      </c>
      <c r="B557" s="53">
        <v>43046.0</v>
      </c>
      <c r="C557" s="52">
        <v>3036.0</v>
      </c>
      <c r="D557" s="52" t="s">
        <v>1323</v>
      </c>
      <c r="E557" s="55">
        <v>4190.8</v>
      </c>
      <c r="F557" s="56">
        <v>43410.0</v>
      </c>
      <c r="G557" s="52" t="s">
        <v>1324</v>
      </c>
      <c r="H557" s="113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ht="12.75" customHeight="1">
      <c r="A558" s="29" t="s">
        <v>287</v>
      </c>
      <c r="B558" s="31">
        <v>42828.0</v>
      </c>
      <c r="C558" s="29">
        <v>3950.0</v>
      </c>
      <c r="D558" s="29" t="s">
        <v>1325</v>
      </c>
      <c r="E558" s="33">
        <v>145280.0</v>
      </c>
      <c r="F558" s="34"/>
      <c r="G558" s="29" t="s">
        <v>1326</v>
      </c>
      <c r="H558" s="19" t="s">
        <v>13</v>
      </c>
      <c r="I558" s="1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29"/>
      <c r="B559" s="41">
        <v>42809.0</v>
      </c>
      <c r="C559" s="32"/>
      <c r="D559" s="42">
        <v>5510.0</v>
      </c>
      <c r="E559" s="33">
        <f>E558-11277.93</f>
        <v>134002.07</v>
      </c>
      <c r="F559" s="34"/>
      <c r="G559" s="29"/>
      <c r="H559" s="1"/>
      <c r="I559" s="1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29"/>
      <c r="B560" s="41">
        <v>42843.0</v>
      </c>
      <c r="C560" s="32"/>
      <c r="D560" s="42">
        <v>5559.0</v>
      </c>
      <c r="E560" s="33">
        <f>E559-30579.91</f>
        <v>103422.16</v>
      </c>
      <c r="F560" s="34"/>
      <c r="G560" s="29"/>
      <c r="H560" s="113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ht="12.75" customHeight="1">
      <c r="A561" s="29"/>
      <c r="B561" s="119">
        <v>42872.0</v>
      </c>
      <c r="C561" s="119">
        <v>42887.0</v>
      </c>
      <c r="D561" s="42">
        <v>5607.0</v>
      </c>
      <c r="E561" s="33">
        <f>E560-22847.82</f>
        <v>80574.34</v>
      </c>
      <c r="F561" s="34"/>
      <c r="G561" s="29"/>
      <c r="H561" s="113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ht="12.75" customHeight="1">
      <c r="A562" s="29"/>
      <c r="B562" s="119">
        <v>42908.0</v>
      </c>
      <c r="C562" s="119">
        <v>42920.0</v>
      </c>
      <c r="D562" s="42">
        <v>5672.0</v>
      </c>
      <c r="E562" s="33">
        <f>E561-27291.49</f>
        <v>53282.85</v>
      </c>
      <c r="F562" s="34"/>
      <c r="G562" s="29"/>
      <c r="H562" s="113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ht="12.75" customHeight="1">
      <c r="A563" s="29"/>
      <c r="B563" s="119">
        <v>42936.0</v>
      </c>
      <c r="C563" s="119">
        <v>42944.0</v>
      </c>
      <c r="D563" s="42">
        <v>5722.0</v>
      </c>
      <c r="E563" s="33">
        <f>E562-53282.85</f>
        <v>0</v>
      </c>
      <c r="F563" s="34"/>
      <c r="G563" s="29"/>
      <c r="H563" s="113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ht="12.75" customHeight="1">
      <c r="A564" s="29" t="s">
        <v>287</v>
      </c>
      <c r="B564" s="31">
        <v>42867.0</v>
      </c>
      <c r="C564" s="29">
        <v>3950.0</v>
      </c>
      <c r="D564" s="29" t="s">
        <v>1327</v>
      </c>
      <c r="E564" s="33">
        <v>134000.0</v>
      </c>
      <c r="F564" s="34"/>
      <c r="G564" s="29" t="s">
        <v>1328</v>
      </c>
      <c r="H564" s="12" t="s">
        <v>13</v>
      </c>
      <c r="I564" s="104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2.75" customHeight="1">
      <c r="A565" s="29"/>
      <c r="B565" s="119">
        <v>42936.0</v>
      </c>
      <c r="C565" s="119">
        <v>42944.0</v>
      </c>
      <c r="D565" s="42">
        <v>5722.0</v>
      </c>
      <c r="E565" s="33">
        <f>E564-25527.22</f>
        <v>108472.78</v>
      </c>
      <c r="F565" s="34"/>
      <c r="G565" s="29"/>
      <c r="H565" s="10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2.75" customHeight="1">
      <c r="A566" s="29"/>
      <c r="B566" s="119">
        <v>42963.0</v>
      </c>
      <c r="C566" s="119">
        <v>42971.0</v>
      </c>
      <c r="D566" s="42">
        <v>5771.0</v>
      </c>
      <c r="E566" s="33">
        <f>E565-67116.45</f>
        <v>41356.33</v>
      </c>
      <c r="F566" s="34"/>
      <c r="G566" s="29"/>
      <c r="H566" s="10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2.75" customHeight="1">
      <c r="A567" s="29"/>
      <c r="B567" s="119">
        <v>42996.0</v>
      </c>
      <c r="C567" s="119">
        <v>43003.0</v>
      </c>
      <c r="D567" s="42">
        <v>5824.0</v>
      </c>
      <c r="E567" s="33">
        <f>E566-E566</f>
        <v>0</v>
      </c>
      <c r="F567" s="34"/>
      <c r="G567" s="29"/>
      <c r="H567" s="10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2.75" customHeight="1">
      <c r="A568" s="52" t="s">
        <v>287</v>
      </c>
      <c r="B568" s="53">
        <v>42965.0</v>
      </c>
      <c r="C568" s="52">
        <v>3950.0</v>
      </c>
      <c r="D568" s="52" t="s">
        <v>1329</v>
      </c>
      <c r="E568" s="55">
        <v>141228.0</v>
      </c>
      <c r="F568" s="56"/>
      <c r="G568" s="52" t="s">
        <v>1328</v>
      </c>
      <c r="H568" s="19" t="s">
        <v>13</v>
      </c>
      <c r="I568" s="1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52"/>
      <c r="B569" s="53">
        <v>42996.0</v>
      </c>
      <c r="C569" s="293">
        <v>43003.0</v>
      </c>
      <c r="D569" s="52">
        <v>5824.0</v>
      </c>
      <c r="E569" s="55">
        <f>E568-23059.04</f>
        <v>118168.96</v>
      </c>
      <c r="F569" s="56"/>
      <c r="G569" s="52"/>
      <c r="H569" s="19"/>
      <c r="I569" s="1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52"/>
      <c r="B570" s="53">
        <v>43024.0</v>
      </c>
      <c r="C570" s="293">
        <v>43035.0</v>
      </c>
      <c r="D570" s="52">
        <v>5872.0</v>
      </c>
      <c r="E570" s="55">
        <f>E569-51328.14</f>
        <v>66840.82</v>
      </c>
      <c r="F570" s="56"/>
      <c r="G570" s="52"/>
      <c r="H570" s="19"/>
      <c r="I570" s="1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52" t="s">
        <v>287</v>
      </c>
      <c r="B571" s="53">
        <v>43040.0</v>
      </c>
      <c r="C571" s="52">
        <v>3950.0</v>
      </c>
      <c r="D571" s="52" t="s">
        <v>1330</v>
      </c>
      <c r="E571" s="55">
        <v>133528.0</v>
      </c>
      <c r="F571" s="56">
        <v>43390.0</v>
      </c>
      <c r="G571" s="52" t="s">
        <v>1331</v>
      </c>
      <c r="H571" s="19" t="s">
        <v>13</v>
      </c>
      <c r="I571" s="1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29" t="s">
        <v>1332</v>
      </c>
      <c r="B572" s="31">
        <v>42866.0</v>
      </c>
      <c r="C572" s="29">
        <v>3036.0</v>
      </c>
      <c r="D572" s="29" t="s">
        <v>1333</v>
      </c>
      <c r="E572" s="33">
        <v>1920.0</v>
      </c>
      <c r="F572" s="34"/>
      <c r="G572" s="29" t="s">
        <v>654</v>
      </c>
      <c r="H572" s="113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ht="12.75" customHeight="1">
      <c r="A573" s="29"/>
      <c r="B573" s="119">
        <v>42888.0</v>
      </c>
      <c r="C573" s="119">
        <v>42894.0</v>
      </c>
      <c r="D573" s="42">
        <v>13602.0</v>
      </c>
      <c r="E573" s="33">
        <f>E572-1920</f>
        <v>0</v>
      </c>
      <c r="F573" s="34"/>
      <c r="G573" s="29"/>
      <c r="H573" s="113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ht="12.75" customHeight="1">
      <c r="A574" s="52" t="s">
        <v>1332</v>
      </c>
      <c r="B574" s="53">
        <v>43031.0</v>
      </c>
      <c r="C574" s="52">
        <v>3036.0</v>
      </c>
      <c r="D574" s="52" t="s">
        <v>1334</v>
      </c>
      <c r="E574" s="55">
        <v>960.0</v>
      </c>
      <c r="F574" s="56">
        <v>43174.0</v>
      </c>
      <c r="G574" s="52" t="s">
        <v>654</v>
      </c>
      <c r="H574" s="113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ht="12.75" customHeight="1">
      <c r="A575" s="52" t="s">
        <v>1335</v>
      </c>
      <c r="B575" s="149">
        <v>43010.0</v>
      </c>
      <c r="C575" s="52">
        <v>3007.0</v>
      </c>
      <c r="D575" s="150" t="s">
        <v>1336</v>
      </c>
      <c r="E575" s="55">
        <v>3430.0</v>
      </c>
      <c r="F575" s="56">
        <v>43341.0</v>
      </c>
      <c r="G575" s="52" t="s">
        <v>593</v>
      </c>
      <c r="H575" s="85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2.75" customHeight="1">
      <c r="A576" s="52" t="s">
        <v>1335</v>
      </c>
      <c r="B576" s="149">
        <v>43040.0</v>
      </c>
      <c r="C576" s="52">
        <v>3007.0</v>
      </c>
      <c r="D576" s="150" t="s">
        <v>1337</v>
      </c>
      <c r="E576" s="55">
        <v>4250.0</v>
      </c>
      <c r="F576" s="56">
        <v>43377.0</v>
      </c>
      <c r="G576" s="52" t="s">
        <v>595</v>
      </c>
      <c r="H576" s="85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2.75" customHeight="1">
      <c r="A577" s="52" t="s">
        <v>1338</v>
      </c>
      <c r="B577" s="149">
        <v>42972.0</v>
      </c>
      <c r="C577" s="54">
        <v>3007.0</v>
      </c>
      <c r="D577" s="318" t="s">
        <v>1339</v>
      </c>
      <c r="E577" s="55">
        <v>2200.0</v>
      </c>
      <c r="F577" s="56">
        <v>43321.0</v>
      </c>
      <c r="G577" s="52" t="s">
        <v>1340</v>
      </c>
      <c r="H577" s="85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2.75" customHeight="1">
      <c r="A578" s="121"/>
      <c r="B578" s="142">
        <v>43000.0</v>
      </c>
      <c r="C578" s="156">
        <v>43013.0</v>
      </c>
      <c r="D578" s="255">
        <v>6227.0</v>
      </c>
      <c r="E578" s="59">
        <f>E577-1120</f>
        <v>1080</v>
      </c>
      <c r="F578" s="124"/>
      <c r="G578" s="121"/>
      <c r="H578" s="113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ht="12.75" customHeight="1">
      <c r="A579" s="29" t="s">
        <v>1341</v>
      </c>
      <c r="B579" s="31">
        <v>42976.0</v>
      </c>
      <c r="C579" s="32">
        <v>3022.0</v>
      </c>
      <c r="D579" s="29" t="s">
        <v>1342</v>
      </c>
      <c r="E579" s="33">
        <v>6120.0</v>
      </c>
      <c r="F579" s="34"/>
      <c r="G579" s="29" t="s">
        <v>983</v>
      </c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2.75" customHeight="1">
      <c r="A580" s="29"/>
      <c r="B580" s="31">
        <v>43011.0</v>
      </c>
      <c r="C580" s="109">
        <v>43014.0</v>
      </c>
      <c r="D580" s="29">
        <v>1227737.0</v>
      </c>
      <c r="E580" s="33">
        <f>E579-6120</f>
        <v>0</v>
      </c>
      <c r="F580" s="34"/>
      <c r="G580" s="29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2.75" customHeight="1">
      <c r="A581" s="52" t="s">
        <v>1343</v>
      </c>
      <c r="B581" s="53">
        <v>43067.0</v>
      </c>
      <c r="C581" s="54">
        <v>3950.0</v>
      </c>
      <c r="D581" s="52" t="s">
        <v>1344</v>
      </c>
      <c r="E581" s="55">
        <v>60000.0</v>
      </c>
      <c r="F581" s="56"/>
      <c r="G581" s="52" t="s">
        <v>1345</v>
      </c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2.75" customHeight="1">
      <c r="A582" s="44" t="s">
        <v>1346</v>
      </c>
      <c r="B582" s="45">
        <v>42867.0</v>
      </c>
      <c r="C582" s="44">
        <v>3036.0</v>
      </c>
      <c r="D582" s="44" t="s">
        <v>1347</v>
      </c>
      <c r="E582" s="47">
        <v>580.0</v>
      </c>
      <c r="F582" s="48">
        <v>43012.0</v>
      </c>
      <c r="G582" s="44" t="s">
        <v>617</v>
      </c>
      <c r="H582" s="30" t="s">
        <v>22</v>
      </c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ht="12.75" customHeight="1">
      <c r="A583" s="29" t="s">
        <v>1348</v>
      </c>
      <c r="B583" s="31">
        <v>42748.0</v>
      </c>
      <c r="C583" s="32">
        <v>3028.0</v>
      </c>
      <c r="D583" s="29" t="s">
        <v>1349</v>
      </c>
      <c r="E583" s="33">
        <v>1627.2</v>
      </c>
      <c r="F583" s="34"/>
      <c r="G583" s="29" t="s">
        <v>958</v>
      </c>
      <c r="H583" s="10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2.75" customHeight="1">
      <c r="A584" s="29"/>
      <c r="B584" s="31">
        <v>42997.0</v>
      </c>
      <c r="C584" s="109">
        <v>43004.0</v>
      </c>
      <c r="D584" s="29">
        <v>270.0</v>
      </c>
      <c r="E584" s="33">
        <f>E583-1627.2</f>
        <v>0</v>
      </c>
      <c r="F584" s="34"/>
      <c r="G584" s="29"/>
      <c r="H584" s="10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2.75" customHeight="1">
      <c r="A585" s="29" t="s">
        <v>1350</v>
      </c>
      <c r="B585" s="31">
        <v>42965.0</v>
      </c>
      <c r="C585" s="32">
        <v>3017.0</v>
      </c>
      <c r="D585" s="29" t="s">
        <v>1351</v>
      </c>
      <c r="E585" s="33">
        <v>20746.0</v>
      </c>
      <c r="F585" s="34">
        <v>43132.0</v>
      </c>
      <c r="G585" s="29" t="s">
        <v>1352</v>
      </c>
      <c r="H585" s="12" t="s">
        <v>13</v>
      </c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2.75" customHeight="1">
      <c r="A586" s="29"/>
      <c r="B586" s="31">
        <v>43049.0</v>
      </c>
      <c r="C586" s="109">
        <v>43055.0</v>
      </c>
      <c r="D586" s="29">
        <v>10333.0</v>
      </c>
      <c r="E586" s="33">
        <f>E585-20746</f>
        <v>0</v>
      </c>
      <c r="F586" s="34"/>
      <c r="G586" s="29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2.75" customHeight="1">
      <c r="A587" s="29" t="s">
        <v>290</v>
      </c>
      <c r="B587" s="31">
        <v>42779.0</v>
      </c>
      <c r="C587" s="32">
        <v>3950.0</v>
      </c>
      <c r="D587" s="29" t="s">
        <v>1353</v>
      </c>
      <c r="E587" s="33">
        <v>5000.0</v>
      </c>
      <c r="F587" s="34"/>
      <c r="G587" s="29" t="s">
        <v>1354</v>
      </c>
      <c r="H587" s="12" t="s">
        <v>13</v>
      </c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2.75" customHeight="1">
      <c r="A588" s="29"/>
      <c r="B588" s="41">
        <v>42782.0</v>
      </c>
      <c r="C588" s="29"/>
      <c r="D588" s="42">
        <v>2623.0</v>
      </c>
      <c r="E588" s="33">
        <f>E587-684</f>
        <v>4316</v>
      </c>
      <c r="F588" s="34"/>
      <c r="G588" s="29"/>
      <c r="H588" s="10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2.75" customHeight="1">
      <c r="A589" s="29"/>
      <c r="B589" s="41">
        <v>42712.0</v>
      </c>
      <c r="C589" s="29"/>
      <c r="D589" s="42">
        <v>2575.0</v>
      </c>
      <c r="E589" s="33">
        <f>E588-440</f>
        <v>3876</v>
      </c>
      <c r="F589" s="34"/>
      <c r="G589" s="29"/>
      <c r="H589" s="10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2.75" customHeight="1">
      <c r="A590" s="29"/>
      <c r="B590" s="41">
        <v>42753.0</v>
      </c>
      <c r="C590" s="29"/>
      <c r="D590" s="42">
        <v>2602.0</v>
      </c>
      <c r="E590" s="33">
        <f>E589-1094</f>
        <v>2782</v>
      </c>
      <c r="F590" s="34"/>
      <c r="G590" s="29"/>
      <c r="H590" s="10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2.75" customHeight="1">
      <c r="A591" s="29"/>
      <c r="B591" s="41">
        <v>42807.0</v>
      </c>
      <c r="C591" s="29"/>
      <c r="D591" s="42">
        <v>2637.0</v>
      </c>
      <c r="E591" s="33">
        <f>E590-639.71</f>
        <v>2142.29</v>
      </c>
      <c r="F591" s="34"/>
      <c r="G591" s="29"/>
      <c r="H591" s="10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2.75" customHeight="1">
      <c r="A592" s="29"/>
      <c r="B592" s="41">
        <v>42842.0</v>
      </c>
      <c r="C592" s="29"/>
      <c r="D592" s="42">
        <v>2650.0</v>
      </c>
      <c r="E592" s="33">
        <f>E591-332</f>
        <v>1810.29</v>
      </c>
      <c r="F592" s="34"/>
      <c r="G592" s="29"/>
      <c r="H592" s="10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2.75" customHeight="1">
      <c r="A593" s="29"/>
      <c r="B593" s="41">
        <v>42865.0</v>
      </c>
      <c r="C593" s="41">
        <v>42874.0</v>
      </c>
      <c r="D593" s="42">
        <v>2674.0</v>
      </c>
      <c r="E593" s="33">
        <f>E592-518</f>
        <v>1292.29</v>
      </c>
      <c r="F593" s="34"/>
      <c r="G593" s="29"/>
      <c r="H593" s="10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2.75" customHeight="1">
      <c r="A594" s="29"/>
      <c r="B594" s="41">
        <v>42907.0</v>
      </c>
      <c r="C594" s="41">
        <v>42920.0</v>
      </c>
      <c r="D594" s="42">
        <v>2697.0</v>
      </c>
      <c r="E594" s="33">
        <v>718.97</v>
      </c>
      <c r="F594" s="34"/>
      <c r="G594" s="29"/>
      <c r="H594" s="10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2.75" customHeight="1">
      <c r="A595" s="29"/>
      <c r="B595" s="41">
        <v>43038.0</v>
      </c>
      <c r="C595" s="41">
        <v>43047.0</v>
      </c>
      <c r="D595" s="42">
        <v>2793.0</v>
      </c>
      <c r="E595" s="33">
        <f>E594-166</f>
        <v>552.97</v>
      </c>
      <c r="F595" s="34"/>
      <c r="G595" s="29"/>
      <c r="H595" s="10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2.75" customHeight="1">
      <c r="A596" s="29"/>
      <c r="B596" s="41">
        <v>43048.0</v>
      </c>
      <c r="C596" s="41">
        <v>43055.0</v>
      </c>
      <c r="D596" s="42">
        <v>2807.0</v>
      </c>
      <c r="E596" s="33">
        <f>E595-E595</f>
        <v>0</v>
      </c>
      <c r="F596" s="34"/>
      <c r="G596" s="29"/>
      <c r="H596" s="10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2.75" customHeight="1">
      <c r="A597" s="52" t="s">
        <v>290</v>
      </c>
      <c r="B597" s="53">
        <v>42828.0</v>
      </c>
      <c r="C597" s="54">
        <v>3950.0</v>
      </c>
      <c r="D597" s="52" t="s">
        <v>1355</v>
      </c>
      <c r="E597" s="55">
        <v>5000.0</v>
      </c>
      <c r="F597" s="56"/>
      <c r="G597" s="52" t="s">
        <v>1354</v>
      </c>
      <c r="H597" s="19" t="s">
        <v>13</v>
      </c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ht="12.75" customHeight="1">
      <c r="A598" s="319"/>
      <c r="B598" s="320">
        <v>42933.0</v>
      </c>
      <c r="C598" s="320">
        <v>42948.0</v>
      </c>
      <c r="D598" s="321">
        <v>2727.0</v>
      </c>
      <c r="E598" s="59">
        <f>E597-1368.25</f>
        <v>3631.75</v>
      </c>
      <c r="F598" s="322"/>
      <c r="G598" s="319"/>
      <c r="H598" s="113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ht="12.75" customHeight="1">
      <c r="A599" s="319"/>
      <c r="B599" s="320">
        <v>42957.0</v>
      </c>
      <c r="C599" s="320">
        <v>42971.0</v>
      </c>
      <c r="D599" s="321">
        <v>2743.0</v>
      </c>
      <c r="E599" s="59">
        <f>E598-244</f>
        <v>3387.75</v>
      </c>
      <c r="F599" s="322"/>
      <c r="G599" s="319"/>
      <c r="H599" s="113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ht="12.75" customHeight="1">
      <c r="A600" s="319"/>
      <c r="B600" s="320">
        <v>43048.0</v>
      </c>
      <c r="C600" s="320">
        <v>43055.0</v>
      </c>
      <c r="D600" s="321">
        <v>2807.0</v>
      </c>
      <c r="E600" s="59">
        <f>E599-261.04</f>
        <v>3126.71</v>
      </c>
      <c r="F600" s="322" t="s">
        <v>1356</v>
      </c>
      <c r="G600" s="319"/>
      <c r="H600" s="113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ht="12.75" customHeight="1">
      <c r="A601" s="52" t="s">
        <v>290</v>
      </c>
      <c r="B601" s="53">
        <v>42965.0</v>
      </c>
      <c r="C601" s="54">
        <v>3950.0</v>
      </c>
      <c r="D601" s="52" t="s">
        <v>1357</v>
      </c>
      <c r="E601" s="55">
        <v>12000.0</v>
      </c>
      <c r="F601" s="56"/>
      <c r="G601" s="52" t="s">
        <v>1354</v>
      </c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ht="12.75" customHeight="1">
      <c r="A602" s="52" t="s">
        <v>290</v>
      </c>
      <c r="B602" s="53">
        <v>42779.0</v>
      </c>
      <c r="C602" s="54">
        <v>3950.0</v>
      </c>
      <c r="D602" s="52" t="s">
        <v>1358</v>
      </c>
      <c r="E602" s="55">
        <v>20000.0</v>
      </c>
      <c r="F602" s="56"/>
      <c r="G602" s="52" t="s">
        <v>1359</v>
      </c>
      <c r="H602" s="67"/>
      <c r="I602" s="149"/>
      <c r="J602" s="150"/>
      <c r="K602" s="149"/>
      <c r="L602" s="150"/>
      <c r="M602" s="149"/>
      <c r="N602" s="150"/>
      <c r="O602" s="149"/>
      <c r="P602" s="150"/>
      <c r="Q602" s="149"/>
      <c r="R602" s="150"/>
      <c r="S602" s="16"/>
      <c r="T602" s="16"/>
      <c r="U602" s="16"/>
      <c r="V602" s="16"/>
      <c r="W602" s="16"/>
      <c r="X602" s="16"/>
      <c r="Y602" s="16"/>
      <c r="Z602" s="16"/>
    </row>
    <row r="603" ht="12.75" customHeight="1">
      <c r="A603" s="141"/>
      <c r="B603" s="142">
        <v>42712.0</v>
      </c>
      <c r="C603" s="121"/>
      <c r="D603" s="141">
        <v>2576.0</v>
      </c>
      <c r="E603" s="59">
        <f>E602-1087.19</f>
        <v>18912.81</v>
      </c>
      <c r="F603" s="141"/>
      <c r="G603" s="142"/>
      <c r="H603" s="67"/>
      <c r="I603" s="142"/>
      <c r="J603" s="141"/>
      <c r="K603" s="142"/>
      <c r="L603" s="141"/>
      <c r="M603" s="142"/>
      <c r="N603" s="141"/>
      <c r="O603" s="142"/>
      <c r="P603" s="141"/>
      <c r="Q603" s="142"/>
      <c r="R603" s="141"/>
      <c r="S603" s="67"/>
      <c r="T603" s="67"/>
      <c r="U603" s="67"/>
      <c r="V603" s="67"/>
      <c r="W603" s="67"/>
      <c r="X603" s="67"/>
      <c r="Y603" s="67"/>
      <c r="Z603" s="67"/>
    </row>
    <row r="604" ht="12.75" customHeight="1">
      <c r="A604" s="141"/>
      <c r="B604" s="142">
        <v>42842.0</v>
      </c>
      <c r="C604" s="121"/>
      <c r="D604" s="141">
        <v>2649.0</v>
      </c>
      <c r="E604" s="59">
        <f>E603-4964.13</f>
        <v>13948.68</v>
      </c>
      <c r="F604" s="141"/>
      <c r="G604" s="142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ht="12.75" customHeight="1">
      <c r="A605" s="121"/>
      <c r="B605" s="227">
        <v>42865.0</v>
      </c>
      <c r="C605" s="227">
        <v>42874.0</v>
      </c>
      <c r="D605" s="255">
        <v>2673.0</v>
      </c>
      <c r="E605" s="59">
        <v>679.1</v>
      </c>
      <c r="F605" s="124"/>
      <c r="G605" s="121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ht="12.75" customHeight="1">
      <c r="A606" s="29" t="s">
        <v>290</v>
      </c>
      <c r="B606" s="31">
        <v>42828.0</v>
      </c>
      <c r="C606" s="32">
        <v>3950.0</v>
      </c>
      <c r="D606" s="29" t="s">
        <v>1360</v>
      </c>
      <c r="E606" s="33">
        <v>20000.0</v>
      </c>
      <c r="F606" s="34"/>
      <c r="G606" s="29" t="s">
        <v>1359</v>
      </c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2.75" customHeight="1">
      <c r="A607" s="29"/>
      <c r="B607" s="41">
        <v>42907.0</v>
      </c>
      <c r="C607" s="41">
        <v>42920.0</v>
      </c>
      <c r="D607" s="42">
        <v>2698.0</v>
      </c>
      <c r="E607" s="33">
        <v>10071.74</v>
      </c>
      <c r="F607" s="34"/>
      <c r="G607" s="29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2.75" customHeight="1">
      <c r="A608" s="29"/>
      <c r="B608" s="41">
        <v>42933.0</v>
      </c>
      <c r="C608" s="41">
        <v>42948.0</v>
      </c>
      <c r="D608" s="42">
        <v>2728.0</v>
      </c>
      <c r="E608" s="33">
        <f>E607-8934.12</f>
        <v>1137.62</v>
      </c>
      <c r="F608" s="34"/>
      <c r="G608" s="29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2.75" customHeight="1">
      <c r="A609" s="29"/>
      <c r="B609" s="41">
        <v>42957.0</v>
      </c>
      <c r="C609" s="41">
        <v>42971.0</v>
      </c>
      <c r="D609" s="42">
        <v>2744.0</v>
      </c>
      <c r="E609" s="33">
        <f>E608-6067.27</f>
        <v>-4929.65</v>
      </c>
      <c r="F609" s="34"/>
      <c r="G609" s="29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2.75" customHeight="1">
      <c r="A610" s="29" t="s">
        <v>290</v>
      </c>
      <c r="B610" s="31">
        <v>42965.0</v>
      </c>
      <c r="C610" s="32">
        <v>3950.0</v>
      </c>
      <c r="D610" s="29" t="s">
        <v>1361</v>
      </c>
      <c r="E610" s="33">
        <v>4902.81</v>
      </c>
      <c r="F610" s="34"/>
      <c r="G610" s="29" t="s">
        <v>1359</v>
      </c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2.75" customHeight="1">
      <c r="A611" s="29"/>
      <c r="B611" s="31"/>
      <c r="C611" s="32"/>
      <c r="D611" s="29"/>
      <c r="E611" s="33">
        <f>E610+E609</f>
        <v>-26.84</v>
      </c>
      <c r="F611" s="34"/>
      <c r="G611" s="29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2.75" customHeight="1">
      <c r="A612" s="52" t="s">
        <v>290</v>
      </c>
      <c r="B612" s="53">
        <v>43009.0</v>
      </c>
      <c r="C612" s="54">
        <v>3950.0</v>
      </c>
      <c r="D612" s="52" t="s">
        <v>1362</v>
      </c>
      <c r="E612" s="55">
        <v>24010.0</v>
      </c>
      <c r="F612" s="56">
        <v>43361.0</v>
      </c>
      <c r="G612" s="52" t="s">
        <v>1363</v>
      </c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ht="12.75" customHeight="1">
      <c r="A613" s="52"/>
      <c r="B613" s="53"/>
      <c r="C613" s="54"/>
      <c r="D613" s="52"/>
      <c r="E613" s="59">
        <f>E612-E611</f>
        <v>24036.84</v>
      </c>
      <c r="F613" s="56"/>
      <c r="G613" s="52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ht="12.75" customHeight="1">
      <c r="A614" s="52"/>
      <c r="B614" s="53">
        <v>43048.0</v>
      </c>
      <c r="C614" s="289">
        <v>43055.0</v>
      </c>
      <c r="D614" s="52">
        <v>2808.0</v>
      </c>
      <c r="E614" s="59">
        <f>E613-1763.71</f>
        <v>22273.13</v>
      </c>
      <c r="F614" s="56"/>
      <c r="G614" s="52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ht="12.75" customHeight="1">
      <c r="A615" s="52" t="s">
        <v>290</v>
      </c>
      <c r="B615" s="53">
        <v>43066.0</v>
      </c>
      <c r="C615" s="54">
        <v>3950.0</v>
      </c>
      <c r="D615" s="52" t="s">
        <v>1364</v>
      </c>
      <c r="E615" s="55">
        <v>57000.0</v>
      </c>
      <c r="F615" s="56"/>
      <c r="G615" s="52" t="s">
        <v>1365</v>
      </c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ht="12.75" customHeight="1">
      <c r="A616" s="29" t="s">
        <v>1366</v>
      </c>
      <c r="B616" s="31">
        <v>42748.0</v>
      </c>
      <c r="C616" s="32">
        <v>3028.0</v>
      </c>
      <c r="D616" s="29" t="s">
        <v>1367</v>
      </c>
      <c r="E616" s="33">
        <v>3663.6</v>
      </c>
      <c r="F616" s="34"/>
      <c r="G616" s="29" t="s">
        <v>958</v>
      </c>
      <c r="H616" s="113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ht="12.75" customHeight="1">
      <c r="A617" s="29"/>
      <c r="B617" s="119">
        <v>42788.0</v>
      </c>
      <c r="C617" s="29"/>
      <c r="D617" s="120">
        <v>1871.0</v>
      </c>
      <c r="E617" s="33">
        <f>E616-3663.6</f>
        <v>0</v>
      </c>
      <c r="F617" s="34"/>
      <c r="G617" s="29"/>
      <c r="H617" s="113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ht="12.75" customHeight="1">
      <c r="A618" s="52" t="s">
        <v>1368</v>
      </c>
      <c r="B618" s="149">
        <v>43010.0</v>
      </c>
      <c r="C618" s="52">
        <v>3007.0</v>
      </c>
      <c r="D618" s="150" t="s">
        <v>1369</v>
      </c>
      <c r="E618" s="55">
        <v>3350.4</v>
      </c>
      <c r="F618" s="56">
        <v>43341.0</v>
      </c>
      <c r="G618" s="52" t="s">
        <v>593</v>
      </c>
      <c r="H618" s="85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2.75" customHeight="1">
      <c r="A619" s="52" t="s">
        <v>1368</v>
      </c>
      <c r="B619" s="149">
        <v>43040.0</v>
      </c>
      <c r="C619" s="52">
        <v>3007.0</v>
      </c>
      <c r="D619" s="150" t="s">
        <v>1370</v>
      </c>
      <c r="E619" s="55">
        <v>900.0</v>
      </c>
      <c r="F619" s="56">
        <v>43377.0</v>
      </c>
      <c r="G619" s="52" t="s">
        <v>595</v>
      </c>
      <c r="H619" s="85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2.75" customHeight="1">
      <c r="A620" s="52" t="s">
        <v>1371</v>
      </c>
      <c r="B620" s="53">
        <v>42936.0</v>
      </c>
      <c r="C620" s="52">
        <v>3007.0</v>
      </c>
      <c r="D620" s="52" t="s">
        <v>1372</v>
      </c>
      <c r="E620" s="55">
        <v>50000.0</v>
      </c>
      <c r="F620" s="56">
        <v>43291.0</v>
      </c>
      <c r="G620" s="52" t="s">
        <v>660</v>
      </c>
      <c r="H620" s="113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ht="12.75" customHeight="1">
      <c r="A621" s="157"/>
      <c r="B621" s="142">
        <v>42982.0</v>
      </c>
      <c r="C621" s="143">
        <v>42972.0</v>
      </c>
      <c r="D621" s="141">
        <v>7162.0</v>
      </c>
      <c r="E621" s="59">
        <f>E620-420</f>
        <v>49580</v>
      </c>
      <c r="F621" s="124"/>
      <c r="G621" s="157"/>
      <c r="H621" s="323"/>
      <c r="I621" s="324"/>
      <c r="J621" s="324"/>
      <c r="K621" s="324"/>
      <c r="L621" s="324"/>
      <c r="M621" s="324"/>
      <c r="N621" s="324"/>
      <c r="O621" s="324"/>
      <c r="P621" s="324"/>
      <c r="Q621" s="324"/>
      <c r="R621" s="324"/>
      <c r="S621" s="324"/>
      <c r="T621" s="324"/>
      <c r="U621" s="324"/>
      <c r="V621" s="324"/>
      <c r="W621" s="324"/>
      <c r="X621" s="324"/>
      <c r="Y621" s="324"/>
      <c r="Z621" s="324"/>
    </row>
    <row r="622" ht="12.75" customHeight="1">
      <c r="A622" s="157"/>
      <c r="B622" s="142">
        <v>43007.0</v>
      </c>
      <c r="C622" s="143">
        <v>43017.0</v>
      </c>
      <c r="D622" s="141">
        <v>7602.0</v>
      </c>
      <c r="E622" s="59">
        <f>E621-15214</f>
        <v>34366</v>
      </c>
      <c r="F622" s="124"/>
      <c r="G622" s="157"/>
      <c r="H622" s="323"/>
      <c r="I622" s="324"/>
      <c r="J622" s="324"/>
      <c r="K622" s="324"/>
      <c r="L622" s="324"/>
      <c r="M622" s="324"/>
      <c r="N622" s="324"/>
      <c r="O622" s="324"/>
      <c r="P622" s="324"/>
      <c r="Q622" s="324"/>
      <c r="R622" s="324"/>
      <c r="S622" s="324"/>
      <c r="T622" s="324"/>
      <c r="U622" s="324"/>
      <c r="V622" s="324"/>
      <c r="W622" s="324"/>
      <c r="X622" s="324"/>
      <c r="Y622" s="324"/>
      <c r="Z622" s="324"/>
    </row>
    <row r="623" ht="12.75" customHeight="1">
      <c r="A623" s="52" t="s">
        <v>1371</v>
      </c>
      <c r="B623" s="53">
        <v>43011.0</v>
      </c>
      <c r="C623" s="52">
        <v>3007.0</v>
      </c>
      <c r="D623" s="52" t="s">
        <v>1373</v>
      </c>
      <c r="E623" s="55">
        <v>25000.0</v>
      </c>
      <c r="F623" s="56">
        <v>43341.0</v>
      </c>
      <c r="G623" s="52" t="s">
        <v>578</v>
      </c>
      <c r="H623" s="113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ht="12.75" customHeight="1">
      <c r="A624" s="121"/>
      <c r="B624" s="139">
        <v>43033.0</v>
      </c>
      <c r="C624" s="140">
        <v>43046.0</v>
      </c>
      <c r="D624" s="121">
        <v>7886.0</v>
      </c>
      <c r="E624" s="59">
        <f>E623-4001.5</f>
        <v>20998.5</v>
      </c>
      <c r="F624" s="124"/>
      <c r="G624" s="121"/>
      <c r="H624" s="113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ht="12.75" customHeight="1">
      <c r="A625" s="121"/>
      <c r="B625" s="139">
        <v>43060.0</v>
      </c>
      <c r="C625" s="140">
        <v>43062.0</v>
      </c>
      <c r="D625" s="121">
        <v>8202.0</v>
      </c>
      <c r="E625" s="59">
        <f>E624-1464.97</f>
        <v>19533.53</v>
      </c>
      <c r="F625" s="124"/>
      <c r="G625" s="121"/>
      <c r="H625" s="113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ht="12.75" customHeight="1">
      <c r="A626" s="52" t="s">
        <v>1371</v>
      </c>
      <c r="B626" s="53">
        <v>43024.0</v>
      </c>
      <c r="C626" s="52">
        <v>3007.0</v>
      </c>
      <c r="D626" s="52" t="s">
        <v>1374</v>
      </c>
      <c r="E626" s="55">
        <v>30000.0</v>
      </c>
      <c r="F626" s="56">
        <v>43291.0</v>
      </c>
      <c r="G626" s="52" t="s">
        <v>660</v>
      </c>
      <c r="H626" s="113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ht="12.75" customHeight="1">
      <c r="A627" s="52" t="s">
        <v>1371</v>
      </c>
      <c r="B627" s="53">
        <v>43067.0</v>
      </c>
      <c r="C627" s="52">
        <v>3007.0</v>
      </c>
      <c r="D627" s="52" t="s">
        <v>1375</v>
      </c>
      <c r="E627" s="55">
        <v>59607.0</v>
      </c>
      <c r="F627" s="56">
        <v>43291.0</v>
      </c>
      <c r="G627" s="52" t="s">
        <v>1376</v>
      </c>
      <c r="H627" s="113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ht="12.75" customHeight="1">
      <c r="A628" s="52" t="s">
        <v>1371</v>
      </c>
      <c r="B628" s="53">
        <v>43040.0</v>
      </c>
      <c r="C628" s="52">
        <v>3007.0</v>
      </c>
      <c r="D628" s="52" t="s">
        <v>1377</v>
      </c>
      <c r="E628" s="55">
        <v>5436.0</v>
      </c>
      <c r="F628" s="56">
        <v>43388.0</v>
      </c>
      <c r="G628" s="52" t="s">
        <v>1378</v>
      </c>
      <c r="H628" s="113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ht="12.75" customHeight="1">
      <c r="A629" s="52" t="s">
        <v>1379</v>
      </c>
      <c r="B629" s="149">
        <v>43010.0</v>
      </c>
      <c r="C629" s="52">
        <v>3007.0</v>
      </c>
      <c r="D629" s="150" t="s">
        <v>1380</v>
      </c>
      <c r="E629" s="55">
        <v>20000.0</v>
      </c>
      <c r="F629" s="56">
        <v>43341.0</v>
      </c>
      <c r="G629" s="52" t="s">
        <v>593</v>
      </c>
      <c r="H629" s="85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2.75" customHeight="1">
      <c r="A630" s="263"/>
      <c r="B630" s="142">
        <v>43014.0</v>
      </c>
      <c r="C630" s="262">
        <v>43017.0</v>
      </c>
      <c r="D630" s="141" t="s">
        <v>1381</v>
      </c>
      <c r="E630" s="59">
        <f>E629-3948.5</f>
        <v>16051.5</v>
      </c>
      <c r="F630" s="145"/>
      <c r="G630" s="263"/>
      <c r="H630" s="325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</row>
    <row r="631" ht="12.75" customHeight="1">
      <c r="A631" s="263"/>
      <c r="B631" s="142">
        <v>43056.0</v>
      </c>
      <c r="C631" s="262">
        <v>43062.0</v>
      </c>
      <c r="D631" s="141" t="s">
        <v>1382</v>
      </c>
      <c r="E631" s="59">
        <f>E630-1026.22</f>
        <v>15025.28</v>
      </c>
      <c r="F631" s="145"/>
      <c r="G631" s="263"/>
      <c r="H631" s="325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</row>
    <row r="632" ht="12.75" customHeight="1">
      <c r="A632" s="263"/>
      <c r="B632" s="142">
        <v>43053.0</v>
      </c>
      <c r="C632" s="262">
        <v>43062.0</v>
      </c>
      <c r="D632" s="141" t="s">
        <v>1383</v>
      </c>
      <c r="E632" s="59">
        <f>E631-6559.78</f>
        <v>8465.5</v>
      </c>
      <c r="F632" s="145"/>
      <c r="G632" s="263"/>
      <c r="H632" s="325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</row>
    <row r="633" ht="12.75" customHeight="1">
      <c r="A633" s="52" t="s">
        <v>1384</v>
      </c>
      <c r="B633" s="149">
        <v>43010.0</v>
      </c>
      <c r="C633" s="52">
        <v>3007.0</v>
      </c>
      <c r="D633" s="150" t="s">
        <v>1385</v>
      </c>
      <c r="E633" s="55">
        <v>15000.0</v>
      </c>
      <c r="F633" s="56">
        <v>43341.0</v>
      </c>
      <c r="G633" s="52" t="s">
        <v>593</v>
      </c>
      <c r="H633" s="85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2.75" customHeight="1">
      <c r="A634" s="52"/>
      <c r="B634" s="149">
        <v>43021.0</v>
      </c>
      <c r="C634" s="293">
        <v>43026.0</v>
      </c>
      <c r="D634" s="150">
        <v>53513.0</v>
      </c>
      <c r="E634" s="55">
        <f>E633-6474.09</f>
        <v>8525.91</v>
      </c>
      <c r="F634" s="56"/>
      <c r="G634" s="52"/>
      <c r="H634" s="85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2.75" customHeight="1">
      <c r="A635" s="52" t="s">
        <v>1384</v>
      </c>
      <c r="B635" s="149">
        <v>43040.0</v>
      </c>
      <c r="C635" s="52">
        <v>3007.0</v>
      </c>
      <c r="D635" s="150" t="s">
        <v>1388</v>
      </c>
      <c r="E635" s="55">
        <v>4545.0</v>
      </c>
      <c r="F635" s="56">
        <v>43377.0</v>
      </c>
      <c r="G635" s="52" t="s">
        <v>595</v>
      </c>
      <c r="H635" s="85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2.75" customHeight="1">
      <c r="A636" s="29" t="s">
        <v>350</v>
      </c>
      <c r="B636" s="31"/>
      <c r="C636" s="32">
        <v>3950.0</v>
      </c>
      <c r="D636" s="29" t="s">
        <v>1389</v>
      </c>
      <c r="E636" s="331">
        <v>100000.0</v>
      </c>
      <c r="F636" s="29"/>
      <c r="G636" s="29" t="s">
        <v>1390</v>
      </c>
    </row>
    <row r="637" ht="12.75" customHeight="1">
      <c r="A637" s="12"/>
      <c r="B637" s="117">
        <v>42842.0</v>
      </c>
      <c r="C637" s="12"/>
      <c r="D637" s="118">
        <v>8989.0</v>
      </c>
      <c r="E637" s="333">
        <f>E636-7413.54</f>
        <v>92586.46</v>
      </c>
      <c r="F637" s="12"/>
      <c r="G637" s="12"/>
    </row>
    <row r="638" ht="12.75" customHeight="1">
      <c r="A638" s="29"/>
      <c r="B638" s="41">
        <v>42867.0</v>
      </c>
      <c r="C638" s="41">
        <v>42895.0</v>
      </c>
      <c r="D638" s="42">
        <v>9090.0</v>
      </c>
      <c r="E638" s="33">
        <f>E637-7771.37</f>
        <v>84815.09</v>
      </c>
      <c r="F638" s="34"/>
      <c r="G638" s="29"/>
      <c r="H638" s="113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ht="12.75" customHeight="1">
      <c r="A639" s="29"/>
      <c r="B639" s="41">
        <v>42877.0</v>
      </c>
      <c r="C639" s="41">
        <v>42944.0</v>
      </c>
      <c r="D639" s="42">
        <v>9218.0</v>
      </c>
      <c r="E639" s="33">
        <f>E638-5282.15</f>
        <v>79532.94</v>
      </c>
      <c r="F639" s="34"/>
      <c r="G639" s="29"/>
      <c r="H639" s="113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ht="12.75" customHeight="1">
      <c r="A640" s="29"/>
      <c r="B640" s="41">
        <v>42929.0</v>
      </c>
      <c r="C640" s="41">
        <v>42948.0</v>
      </c>
      <c r="D640" s="42">
        <v>9309.0</v>
      </c>
      <c r="E640" s="33">
        <f>E639-54959.95</f>
        <v>24572.99</v>
      </c>
      <c r="F640" s="34"/>
      <c r="G640" s="29"/>
      <c r="H640" s="113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ht="12.75" customHeight="1">
      <c r="A641" s="29"/>
      <c r="B641" s="41">
        <v>42954.0</v>
      </c>
      <c r="C641" s="41">
        <v>42962.0</v>
      </c>
      <c r="D641" s="42">
        <v>9382.0</v>
      </c>
      <c r="E641" s="33">
        <f>E640-24572.99</f>
        <v>0</v>
      </c>
      <c r="F641" s="34"/>
      <c r="G641" s="29"/>
      <c r="H641" s="113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ht="12.75" customHeight="1">
      <c r="A642" s="52" t="s">
        <v>350</v>
      </c>
      <c r="B642" s="53">
        <v>42867.0</v>
      </c>
      <c r="C642" s="54">
        <v>3950.0</v>
      </c>
      <c r="D642" s="52" t="s">
        <v>1392</v>
      </c>
      <c r="E642" s="336">
        <v>300000.0</v>
      </c>
      <c r="F642" s="52"/>
      <c r="G642" s="52" t="s">
        <v>1390</v>
      </c>
    </row>
    <row r="643" ht="12.75" customHeight="1">
      <c r="A643" s="319"/>
      <c r="B643" s="320">
        <v>42954.0</v>
      </c>
      <c r="C643" s="320">
        <v>42962.0</v>
      </c>
      <c r="D643" s="321">
        <v>9382.0</v>
      </c>
      <c r="E643" s="59">
        <f>E642-48943.89</f>
        <v>251056.11</v>
      </c>
      <c r="F643" s="322"/>
      <c r="G643" s="319"/>
      <c r="H643" s="113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ht="12.75" customHeight="1">
      <c r="A644" s="319"/>
      <c r="B644" s="320">
        <v>42999.0</v>
      </c>
      <c r="C644" s="320">
        <v>43011.0</v>
      </c>
      <c r="D644" s="321">
        <v>10453.0</v>
      </c>
      <c r="E644" s="59">
        <f>E643-69599.74</f>
        <v>181456.37</v>
      </c>
      <c r="F644" s="322"/>
      <c r="G644" s="319"/>
      <c r="H644" s="113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ht="12.75" customHeight="1">
      <c r="A645" s="319"/>
      <c r="B645" s="320">
        <v>43028.0</v>
      </c>
      <c r="C645" s="320">
        <v>43035.0</v>
      </c>
      <c r="D645" s="321">
        <v>10672.0</v>
      </c>
      <c r="E645" s="59">
        <f>E644-76716.52</f>
        <v>104739.85</v>
      </c>
      <c r="F645" s="322"/>
      <c r="G645" s="319"/>
      <c r="H645" s="113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ht="12.75" customHeight="1">
      <c r="A646" s="319"/>
      <c r="B646" s="320">
        <v>43048.0</v>
      </c>
      <c r="C646" s="320">
        <v>43062.0</v>
      </c>
      <c r="D646" s="321">
        <v>10777.0</v>
      </c>
      <c r="E646" s="59">
        <f>E645-50363.17</f>
        <v>54376.68</v>
      </c>
      <c r="F646" s="322"/>
      <c r="G646" s="319"/>
      <c r="H646" s="113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ht="12.75" customHeight="1">
      <c r="A647" s="52" t="s">
        <v>350</v>
      </c>
      <c r="B647" s="53">
        <v>42965.0</v>
      </c>
      <c r="C647" s="54">
        <v>3950.0</v>
      </c>
      <c r="D647" s="52" t="s">
        <v>1398</v>
      </c>
      <c r="E647" s="336">
        <v>268883.75</v>
      </c>
      <c r="F647" s="52"/>
      <c r="G647" s="52" t="s">
        <v>1399</v>
      </c>
    </row>
    <row r="648" ht="12.75" customHeight="1">
      <c r="A648" s="44" t="s">
        <v>1100</v>
      </c>
      <c r="B648" s="45">
        <v>42866.0</v>
      </c>
      <c r="C648" s="44">
        <v>3036.0</v>
      </c>
      <c r="D648" s="44" t="s">
        <v>1400</v>
      </c>
      <c r="E648" s="47">
        <v>20505.0</v>
      </c>
      <c r="F648" s="48">
        <v>43174.0</v>
      </c>
      <c r="G648" s="44" t="s">
        <v>654</v>
      </c>
      <c r="H648" s="30" t="s">
        <v>22</v>
      </c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ht="12.75" customHeight="1">
      <c r="A649" s="44"/>
      <c r="B649" s="99">
        <v>42920.0</v>
      </c>
      <c r="C649" s="99">
        <v>42926.0</v>
      </c>
      <c r="D649" s="100">
        <v>2675.0</v>
      </c>
      <c r="E649" s="47">
        <f>E648-19991</f>
        <v>514</v>
      </c>
      <c r="F649" s="48"/>
      <c r="G649" s="44"/>
      <c r="H649" s="113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ht="12.75" customHeight="1">
      <c r="A650" s="29" t="s">
        <v>1100</v>
      </c>
      <c r="B650" s="31">
        <v>42867.0</v>
      </c>
      <c r="C650" s="29">
        <v>3036.0</v>
      </c>
      <c r="D650" s="29" t="s">
        <v>1403</v>
      </c>
      <c r="E650" s="33">
        <v>57.92</v>
      </c>
      <c r="F650" s="34">
        <v>43066.0</v>
      </c>
      <c r="G650" s="29" t="s">
        <v>760</v>
      </c>
      <c r="H650" s="10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2.75" customHeight="1">
      <c r="A651" s="29"/>
      <c r="B651" s="31">
        <v>43060.0</v>
      </c>
      <c r="C651" s="148">
        <v>43062.0</v>
      </c>
      <c r="D651" s="29">
        <v>3334.0</v>
      </c>
      <c r="E651" s="33">
        <f>E650-57.92</f>
        <v>0</v>
      </c>
      <c r="F651" s="34"/>
      <c r="G651" s="29"/>
      <c r="H651" s="10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2.75" customHeight="1">
      <c r="A652" s="52" t="s">
        <v>1100</v>
      </c>
      <c r="B652" s="53">
        <v>43031.0</v>
      </c>
      <c r="C652" s="52">
        <v>3036.0</v>
      </c>
      <c r="D652" s="52" t="s">
        <v>1404</v>
      </c>
      <c r="E652" s="55">
        <v>17900.0</v>
      </c>
      <c r="F652" s="56">
        <v>43174.0</v>
      </c>
      <c r="G652" s="52" t="s">
        <v>654</v>
      </c>
      <c r="H652" s="113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ht="12.75" customHeight="1">
      <c r="A653" s="52" t="s">
        <v>1100</v>
      </c>
      <c r="B653" s="53">
        <v>43009.0</v>
      </c>
      <c r="C653" s="52">
        <v>3036.0</v>
      </c>
      <c r="D653" s="52" t="s">
        <v>1405</v>
      </c>
      <c r="E653" s="55">
        <v>18670.8</v>
      </c>
      <c r="F653" s="56">
        <v>43371.0</v>
      </c>
      <c r="G653" s="52" t="s">
        <v>1406</v>
      </c>
      <c r="H653" s="113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ht="12.75" customHeight="1">
      <c r="A654" s="52" t="s">
        <v>1407</v>
      </c>
      <c r="B654" s="53">
        <v>42972.0</v>
      </c>
      <c r="C654" s="52">
        <v>3035.0</v>
      </c>
      <c r="D654" s="52" t="s">
        <v>1408</v>
      </c>
      <c r="E654" s="55">
        <v>167778.0</v>
      </c>
      <c r="F654" s="56">
        <v>43327.0</v>
      </c>
      <c r="G654" s="52" t="s">
        <v>1409</v>
      </c>
      <c r="H654" s="113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ht="12.75" customHeight="1">
      <c r="A655" s="121"/>
      <c r="B655" s="139">
        <v>43031.0</v>
      </c>
      <c r="C655" s="140">
        <v>43062.0</v>
      </c>
      <c r="D655" s="121">
        <v>8743.0</v>
      </c>
      <c r="E655" s="155">
        <f>E654-1653</f>
        <v>166125</v>
      </c>
      <c r="F655" s="124"/>
      <c r="G655" s="121"/>
      <c r="H655" s="113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ht="12.75" customHeight="1">
      <c r="A656" s="121"/>
      <c r="B656" s="139">
        <v>43031.0</v>
      </c>
      <c r="C656" s="140">
        <v>43062.0</v>
      </c>
      <c r="D656" s="121">
        <v>8310.0</v>
      </c>
      <c r="E656" s="155">
        <f>E655-3876</f>
        <v>162249</v>
      </c>
      <c r="F656" s="124"/>
      <c r="G656" s="121"/>
      <c r="H656" s="113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ht="12.75" customHeight="1">
      <c r="A657" s="121"/>
      <c r="B657" s="139">
        <v>43062.0</v>
      </c>
      <c r="C657" s="140">
        <v>43062.0</v>
      </c>
      <c r="D657" s="121">
        <v>11243.0</v>
      </c>
      <c r="E657" s="155">
        <f>E656-1638</f>
        <v>160611</v>
      </c>
      <c r="F657" s="124"/>
      <c r="G657" s="121"/>
      <c r="H657" s="113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ht="12.75" customHeight="1">
      <c r="A658" s="121"/>
      <c r="B658" s="139">
        <v>43062.0</v>
      </c>
      <c r="C658" s="140">
        <v>43062.0</v>
      </c>
      <c r="D658" s="121">
        <v>11244.0</v>
      </c>
      <c r="E658" s="155">
        <f>E657-2110</f>
        <v>158501</v>
      </c>
      <c r="F658" s="124"/>
      <c r="G658" s="121"/>
      <c r="H658" s="113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2.75" customHeight="1">
      <c r="A659" s="121"/>
      <c r="B659" s="139">
        <v>43062.0</v>
      </c>
      <c r="C659" s="140">
        <v>43062.0</v>
      </c>
      <c r="D659" s="121">
        <v>11245.0</v>
      </c>
      <c r="E659" s="155">
        <f>E658-4625</f>
        <v>153876</v>
      </c>
      <c r="F659" s="124"/>
      <c r="G659" s="121"/>
      <c r="H659" s="113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ht="12.75" customHeight="1">
      <c r="A660" s="121"/>
      <c r="B660" s="139">
        <v>43062.0</v>
      </c>
      <c r="C660" s="140">
        <v>43062.0</v>
      </c>
      <c r="D660" s="121">
        <v>11246.0</v>
      </c>
      <c r="E660" s="155">
        <f>E659-6901</f>
        <v>146975</v>
      </c>
      <c r="F660" s="124"/>
      <c r="G660" s="121"/>
      <c r="H660" s="113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2.75" customHeight="1">
      <c r="A661" s="121"/>
      <c r="B661" s="139">
        <v>43062.0</v>
      </c>
      <c r="C661" s="140">
        <v>43062.0</v>
      </c>
      <c r="D661" s="121">
        <v>11247.0</v>
      </c>
      <c r="E661" s="155">
        <f>E660-4911</f>
        <v>142064</v>
      </c>
      <c r="F661" s="124"/>
      <c r="G661" s="121"/>
      <c r="H661" s="113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ht="12.75" customHeight="1">
      <c r="A662" s="121"/>
      <c r="B662" s="139">
        <v>43062.0</v>
      </c>
      <c r="C662" s="140">
        <v>43062.0</v>
      </c>
      <c r="D662" s="121">
        <v>11252.0</v>
      </c>
      <c r="E662" s="155">
        <f>E661-1477</f>
        <v>140587</v>
      </c>
      <c r="F662" s="124"/>
      <c r="G662" s="121"/>
      <c r="H662" s="113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ht="12.75" customHeight="1">
      <c r="A663" s="121"/>
      <c r="B663" s="139">
        <v>43062.0</v>
      </c>
      <c r="C663" s="140">
        <v>43062.0</v>
      </c>
      <c r="D663" s="121">
        <v>11253.0</v>
      </c>
      <c r="E663" s="155">
        <f>E662-17155</f>
        <v>123432</v>
      </c>
      <c r="F663" s="124"/>
      <c r="G663" s="121"/>
      <c r="H663" s="113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ht="12.75" customHeight="1">
      <c r="A664" s="121"/>
      <c r="B664" s="139">
        <v>43062.0</v>
      </c>
      <c r="C664" s="140">
        <v>43062.0</v>
      </c>
      <c r="D664" s="121">
        <v>11284.0</v>
      </c>
      <c r="E664" s="155">
        <f>E663-44692</f>
        <v>78740</v>
      </c>
      <c r="F664" s="124"/>
      <c r="G664" s="121"/>
      <c r="H664" s="113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ht="12.75" customHeight="1">
      <c r="A665" s="121"/>
      <c r="B665" s="139">
        <v>43062.0</v>
      </c>
      <c r="C665" s="140">
        <v>43062.0</v>
      </c>
      <c r="D665" s="121">
        <v>11316.0</v>
      </c>
      <c r="E665" s="155">
        <f>E664-49144</f>
        <v>29596</v>
      </c>
      <c r="F665" s="124"/>
      <c r="G665" s="121"/>
      <c r="H665" s="113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ht="12.75" customHeight="1">
      <c r="A666" s="121"/>
      <c r="B666" s="139">
        <v>43062.0</v>
      </c>
      <c r="C666" s="140">
        <v>43062.0</v>
      </c>
      <c r="D666" s="121">
        <v>11317.0</v>
      </c>
      <c r="E666" s="155">
        <f>E665-8216</f>
        <v>21380</v>
      </c>
      <c r="F666" s="124"/>
      <c r="G666" s="121"/>
      <c r="H666" s="113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ht="12.75" customHeight="1">
      <c r="A667" s="121"/>
      <c r="B667" s="139">
        <v>43062.0</v>
      </c>
      <c r="C667" s="140">
        <v>43062.0</v>
      </c>
      <c r="D667" s="121">
        <v>11319.0</v>
      </c>
      <c r="E667" s="155">
        <f>E666-14651</f>
        <v>6729</v>
      </c>
      <c r="F667" s="124"/>
      <c r="G667" s="121"/>
      <c r="H667" s="113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ht="12.75" customHeight="1">
      <c r="A668" s="29" t="s">
        <v>1414</v>
      </c>
      <c r="B668" s="31">
        <v>42866.0</v>
      </c>
      <c r="C668" s="32">
        <v>3036.0</v>
      </c>
      <c r="D668" s="29" t="s">
        <v>1415</v>
      </c>
      <c r="E668" s="33">
        <v>14700.0</v>
      </c>
      <c r="F668" s="34">
        <v>43182.0</v>
      </c>
      <c r="G668" s="29" t="s">
        <v>633</v>
      </c>
      <c r="H668" s="341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2.75" customHeight="1">
      <c r="A669" s="29"/>
      <c r="B669" s="31">
        <v>43033.0</v>
      </c>
      <c r="C669" s="109">
        <v>43046.0</v>
      </c>
      <c r="D669" s="29">
        <v>142473.0</v>
      </c>
      <c r="E669" s="33">
        <f>E668-14700</f>
        <v>0</v>
      </c>
      <c r="F669" s="34"/>
      <c r="G669" s="29"/>
      <c r="H669" s="341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2.75" customHeight="1">
      <c r="A670" s="52" t="s">
        <v>1417</v>
      </c>
      <c r="B670" s="53">
        <v>42776.0</v>
      </c>
      <c r="C670" s="54">
        <v>3950.0</v>
      </c>
      <c r="D670" s="52" t="s">
        <v>1418</v>
      </c>
      <c r="E670" s="55">
        <v>50000.0</v>
      </c>
      <c r="F670" s="56"/>
      <c r="G670" s="52" t="s">
        <v>1419</v>
      </c>
      <c r="H670" s="19" t="s">
        <v>13</v>
      </c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ht="12.75" customHeight="1">
      <c r="A671" s="319"/>
      <c r="B671" s="320">
        <v>42921.0</v>
      </c>
      <c r="C671" s="320">
        <v>42930.0</v>
      </c>
      <c r="D671" s="321">
        <v>94.0</v>
      </c>
      <c r="E671" s="59">
        <f>E670-4532</f>
        <v>45468</v>
      </c>
      <c r="F671" s="322"/>
      <c r="G671" s="319"/>
      <c r="H671" s="113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ht="12.75" customHeight="1">
      <c r="A672" s="319"/>
      <c r="B672" s="320">
        <v>42949.0</v>
      </c>
      <c r="C672" s="320">
        <v>42958.0</v>
      </c>
      <c r="D672" s="321">
        <v>105.0</v>
      </c>
      <c r="E672" s="59">
        <f>E671-2535</f>
        <v>42933</v>
      </c>
      <c r="F672" s="322"/>
      <c r="G672" s="319"/>
      <c r="H672" s="113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ht="12.75" customHeight="1">
      <c r="A673" s="319"/>
      <c r="B673" s="320">
        <v>42984.0</v>
      </c>
      <c r="C673" s="320">
        <v>43000.0</v>
      </c>
      <c r="D673" s="321">
        <v>115.0</v>
      </c>
      <c r="E673" s="59">
        <f>E672-9124.51</f>
        <v>33808.49</v>
      </c>
      <c r="F673" s="322"/>
      <c r="G673" s="319"/>
      <c r="H673" s="113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ht="12.75" customHeight="1">
      <c r="A674" s="319"/>
      <c r="B674" s="320">
        <v>43010.0</v>
      </c>
      <c r="C674" s="348">
        <v>43028.0</v>
      </c>
      <c r="D674" s="321">
        <v>129.0</v>
      </c>
      <c r="E674" s="59">
        <f>E673-8042.91</f>
        <v>25765.58</v>
      </c>
      <c r="F674" s="322"/>
      <c r="G674" s="319"/>
      <c r="H674" s="113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ht="12.75" customHeight="1">
      <c r="A675" s="319"/>
      <c r="B675" s="320">
        <v>43047.0</v>
      </c>
      <c r="C675" s="348">
        <v>43060.0</v>
      </c>
      <c r="D675" s="321">
        <v>135.0</v>
      </c>
      <c r="E675" s="59">
        <f>E674-21345.95</f>
        <v>4419.63</v>
      </c>
      <c r="F675" s="322"/>
      <c r="G675" s="319"/>
      <c r="H675" s="113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ht="12.75" customHeight="1">
      <c r="A676" s="52" t="s">
        <v>1417</v>
      </c>
      <c r="B676" s="53">
        <v>43066.0</v>
      </c>
      <c r="C676" s="54">
        <v>3950.0</v>
      </c>
      <c r="D676" s="52" t="s">
        <v>1423</v>
      </c>
      <c r="E676" s="55">
        <v>57000.0</v>
      </c>
      <c r="F676" s="56">
        <v>43455.0</v>
      </c>
      <c r="G676" s="52" t="s">
        <v>1424</v>
      </c>
      <c r="H676" s="19" t="s">
        <v>13</v>
      </c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ht="12.75" customHeight="1">
      <c r="A677" s="52" t="s">
        <v>1114</v>
      </c>
      <c r="B677" s="53">
        <v>42989.0</v>
      </c>
      <c r="C677" s="73">
        <v>3957.0</v>
      </c>
      <c r="D677" s="52" t="s">
        <v>1427</v>
      </c>
      <c r="E677" s="55">
        <v>11571.12</v>
      </c>
      <c r="F677" s="56">
        <v>43353.0</v>
      </c>
      <c r="G677" s="52" t="s">
        <v>1428</v>
      </c>
      <c r="H677" s="1"/>
      <c r="I677" s="1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52"/>
      <c r="B678" s="53">
        <v>43067.0</v>
      </c>
      <c r="C678" s="272">
        <v>43067.0</v>
      </c>
      <c r="D678" s="52">
        <v>376203.0</v>
      </c>
      <c r="E678" s="55">
        <f t="shared" ref="E678:E680" si="11">E677-964.26</f>
        <v>10606.86</v>
      </c>
      <c r="F678" s="56"/>
      <c r="G678" s="52"/>
      <c r="H678" s="1"/>
      <c r="I678" s="1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52"/>
      <c r="B679" s="53">
        <v>43067.0</v>
      </c>
      <c r="C679" s="272">
        <v>43067.0</v>
      </c>
      <c r="D679" s="52">
        <v>376204.0</v>
      </c>
      <c r="E679" s="55">
        <f t="shared" si="11"/>
        <v>9642.6</v>
      </c>
      <c r="F679" s="56"/>
      <c r="G679" s="52"/>
      <c r="H679" s="1"/>
      <c r="I679" s="1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52"/>
      <c r="B680" s="53">
        <v>43067.0</v>
      </c>
      <c r="C680" s="272">
        <v>43067.0</v>
      </c>
      <c r="D680" s="52">
        <v>376205.0</v>
      </c>
      <c r="E680" s="55">
        <f t="shared" si="11"/>
        <v>8678.34</v>
      </c>
      <c r="F680" s="56"/>
      <c r="G680" s="52"/>
      <c r="H680" s="1"/>
      <c r="I680" s="1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44" t="s">
        <v>1429</v>
      </c>
      <c r="B681" s="45">
        <v>42747.0</v>
      </c>
      <c r="C681" s="121"/>
      <c r="D681" s="44" t="s">
        <v>1430</v>
      </c>
      <c r="E681" s="47">
        <v>1530.94</v>
      </c>
      <c r="F681" s="48">
        <v>43056.0</v>
      </c>
      <c r="G681" s="44" t="s">
        <v>1431</v>
      </c>
      <c r="H681" s="30" t="s">
        <v>22</v>
      </c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ht="12.75" customHeight="1">
      <c r="A682" s="52" t="s">
        <v>1429</v>
      </c>
      <c r="B682" s="53">
        <v>42913.0</v>
      </c>
      <c r="C682" s="52">
        <v>3009.0</v>
      </c>
      <c r="D682" s="52" t="s">
        <v>1432</v>
      </c>
      <c r="E682" s="55">
        <v>41000.0</v>
      </c>
      <c r="F682" s="56">
        <v>43277.0</v>
      </c>
      <c r="G682" s="52" t="s">
        <v>1433</v>
      </c>
      <c r="H682" s="15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52"/>
      <c r="B683" s="350">
        <v>42936.0</v>
      </c>
      <c r="C683" s="351">
        <v>42955.0</v>
      </c>
      <c r="D683" s="352">
        <v>14636.0</v>
      </c>
      <c r="E683" s="59">
        <f>E682-7787.15</f>
        <v>33212.85</v>
      </c>
      <c r="F683" s="56"/>
      <c r="G683" s="52"/>
      <c r="H683" s="15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52"/>
      <c r="B684" s="350">
        <v>42936.0</v>
      </c>
      <c r="C684" s="351">
        <v>42955.0</v>
      </c>
      <c r="D684" s="352">
        <v>14635.0</v>
      </c>
      <c r="E684" s="59">
        <f>E683-931.31</f>
        <v>32281.54</v>
      </c>
      <c r="F684" s="56"/>
      <c r="G684" s="52"/>
      <c r="H684" s="15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52"/>
      <c r="B685" s="350">
        <v>42964.0</v>
      </c>
      <c r="C685" s="351">
        <v>42978.0</v>
      </c>
      <c r="D685" s="352">
        <v>14982.0</v>
      </c>
      <c r="E685" s="59">
        <f>E684-4169.24</f>
        <v>28112.3</v>
      </c>
      <c r="F685" s="56"/>
      <c r="G685" s="52"/>
      <c r="H685" s="15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52"/>
      <c r="B686" s="350">
        <v>42982.0</v>
      </c>
      <c r="C686" s="351">
        <v>42990.0</v>
      </c>
      <c r="D686" s="352">
        <v>15240.0</v>
      </c>
      <c r="E686" s="59">
        <f>E685-3308.14</f>
        <v>24804.16</v>
      </c>
      <c r="F686" s="56"/>
      <c r="G686" s="52"/>
      <c r="H686" s="15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52"/>
      <c r="B687" s="350">
        <v>42986.0</v>
      </c>
      <c r="C687" s="351">
        <v>42990.0</v>
      </c>
      <c r="D687" s="352">
        <v>15298.0</v>
      </c>
      <c r="E687" s="59">
        <f>E686-138.6</f>
        <v>24665.56</v>
      </c>
      <c r="F687" s="56"/>
      <c r="G687" s="52"/>
      <c r="H687" s="15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52"/>
      <c r="B688" s="350">
        <v>42991.0</v>
      </c>
      <c r="C688" s="351">
        <v>42996.0</v>
      </c>
      <c r="D688" s="352">
        <v>15351.0</v>
      </c>
      <c r="E688" s="59">
        <f>E687-1153.48</f>
        <v>23512.08</v>
      </c>
      <c r="F688" s="56"/>
      <c r="G688" s="52"/>
      <c r="H688" s="15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52"/>
      <c r="B689" s="350">
        <v>43007.0</v>
      </c>
      <c r="C689" s="351">
        <v>43013.0</v>
      </c>
      <c r="D689" s="352">
        <v>15653.0</v>
      </c>
      <c r="E689" s="59">
        <f>E688-1631.96</f>
        <v>21880.12</v>
      </c>
      <c r="F689" s="56"/>
      <c r="G689" s="52"/>
      <c r="H689" s="15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52"/>
      <c r="B690" s="350">
        <v>43007.0</v>
      </c>
      <c r="C690" s="351">
        <v>43013.0</v>
      </c>
      <c r="D690" s="352">
        <v>15654.0</v>
      </c>
      <c r="E690" s="59">
        <f>E689-667.91</f>
        <v>21212.21</v>
      </c>
      <c r="F690" s="56"/>
      <c r="G690" s="52"/>
      <c r="H690" s="15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52"/>
      <c r="B691" s="350">
        <v>43007.0</v>
      </c>
      <c r="C691" s="351">
        <v>43013.0</v>
      </c>
      <c r="D691" s="352">
        <v>15655.0</v>
      </c>
      <c r="E691" s="59">
        <f>E690-784.74</f>
        <v>20427.47</v>
      </c>
      <c r="F691" s="56"/>
      <c r="G691" s="52"/>
      <c r="H691" s="15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52"/>
      <c r="B692" s="350">
        <v>43007.0</v>
      </c>
      <c r="C692" s="351">
        <v>43013.0</v>
      </c>
      <c r="D692" s="352">
        <v>15656.0</v>
      </c>
      <c r="E692" s="59">
        <f>E691-207.48</f>
        <v>20219.99</v>
      </c>
      <c r="F692" s="56"/>
      <c r="G692" s="52"/>
      <c r="H692" s="15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52"/>
      <c r="B693" s="350">
        <v>43011.0</v>
      </c>
      <c r="C693" s="351">
        <v>43014.0</v>
      </c>
      <c r="D693" s="352">
        <v>15704.0</v>
      </c>
      <c r="E693" s="59">
        <f>E692-8189.03</f>
        <v>12030.96</v>
      </c>
      <c r="F693" s="56"/>
      <c r="G693" s="52"/>
      <c r="H693" s="15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52"/>
      <c r="B694" s="350">
        <v>43018.0</v>
      </c>
      <c r="C694" s="351">
        <v>43033.0</v>
      </c>
      <c r="D694" s="352">
        <v>15811.0</v>
      </c>
      <c r="E694" s="59">
        <f>E693-6904.88</f>
        <v>5126.08</v>
      </c>
      <c r="F694" s="56"/>
      <c r="G694" s="52"/>
      <c r="H694" s="15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52" t="s">
        <v>1429</v>
      </c>
      <c r="B695" s="53">
        <v>43018.0</v>
      </c>
      <c r="C695" s="52">
        <v>3009.0</v>
      </c>
      <c r="D695" s="52" t="s">
        <v>1447</v>
      </c>
      <c r="E695" s="55">
        <v>40000.0</v>
      </c>
      <c r="F695" s="56">
        <v>43277.0</v>
      </c>
      <c r="G695" s="52" t="s">
        <v>1433</v>
      </c>
      <c r="H695" s="15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21"/>
      <c r="B696" s="139">
        <v>43045.0</v>
      </c>
      <c r="C696" s="140">
        <v>43049.0</v>
      </c>
      <c r="D696" s="121">
        <v>16309.0</v>
      </c>
      <c r="E696" s="59">
        <f>E695-4046.24</f>
        <v>35953.76</v>
      </c>
      <c r="F696" s="124"/>
      <c r="G696" s="121"/>
      <c r="H696" s="360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ht="12.75" customHeight="1">
      <c r="A697" s="121"/>
      <c r="B697" s="139">
        <v>43045.0</v>
      </c>
      <c r="C697" s="140">
        <v>43049.0</v>
      </c>
      <c r="D697" s="121">
        <v>16308.0</v>
      </c>
      <c r="E697" s="59">
        <f>E696-1514.95</f>
        <v>34438.81</v>
      </c>
      <c r="F697" s="124"/>
      <c r="G697" s="121"/>
      <c r="H697" s="360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ht="12.75" customHeight="1">
      <c r="A698" s="121"/>
      <c r="B698" s="139">
        <v>43040.0</v>
      </c>
      <c r="C698" s="140">
        <v>43049.0</v>
      </c>
      <c r="D698" s="121">
        <v>16158.0</v>
      </c>
      <c r="E698" s="59">
        <f>E697-3604.56</f>
        <v>30834.25</v>
      </c>
      <c r="F698" s="124"/>
      <c r="G698" s="121"/>
      <c r="H698" s="360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ht="12.75" customHeight="1">
      <c r="A699" s="121"/>
      <c r="B699" s="139">
        <v>43047.0</v>
      </c>
      <c r="C699" s="140">
        <v>43061.0</v>
      </c>
      <c r="D699" s="121">
        <v>16496.0</v>
      </c>
      <c r="E699" s="59">
        <f>E698-2649.03</f>
        <v>28185.22</v>
      </c>
      <c r="F699" s="124"/>
      <c r="G699" s="121"/>
      <c r="H699" s="360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ht="12.75" customHeight="1">
      <c r="A700" s="121"/>
      <c r="B700" s="139">
        <v>43059.0</v>
      </c>
      <c r="C700" s="140">
        <v>43062.0</v>
      </c>
      <c r="D700" s="121">
        <v>16916.0</v>
      </c>
      <c r="E700" s="59">
        <f>E699-765.92</f>
        <v>27419.3</v>
      </c>
      <c r="F700" s="124"/>
      <c r="G700" s="121"/>
      <c r="H700" s="360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ht="12.75" customHeight="1">
      <c r="A701" s="121"/>
      <c r="B701" s="139">
        <v>43059.0</v>
      </c>
      <c r="C701" s="140">
        <v>43062.0</v>
      </c>
      <c r="D701" s="121">
        <v>16915.0</v>
      </c>
      <c r="E701" s="59">
        <f>E700-3300.86</f>
        <v>24118.44</v>
      </c>
      <c r="F701" s="124"/>
      <c r="G701" s="121"/>
      <c r="H701" s="360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ht="12.75" customHeight="1">
      <c r="A702" s="29" t="s">
        <v>1454</v>
      </c>
      <c r="B702" s="31">
        <v>42748.0</v>
      </c>
      <c r="C702" s="32">
        <v>3028.0</v>
      </c>
      <c r="D702" s="29" t="s">
        <v>1455</v>
      </c>
      <c r="E702" s="33">
        <v>1304.04</v>
      </c>
      <c r="F702" s="34"/>
      <c r="G702" s="29" t="s">
        <v>958</v>
      </c>
      <c r="H702" s="10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2.75" customHeight="1">
      <c r="A703" s="29"/>
      <c r="B703" s="31">
        <v>42978.0</v>
      </c>
      <c r="C703" s="109">
        <v>43004.0</v>
      </c>
      <c r="D703" s="29">
        <v>17921.0</v>
      </c>
      <c r="E703" s="33">
        <f>E702-1278.84</f>
        <v>25.2</v>
      </c>
      <c r="F703" s="34"/>
      <c r="G703" s="29"/>
      <c r="H703" s="10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2.75" customHeight="1">
      <c r="A704" s="29"/>
      <c r="B704" s="31">
        <v>42978.0</v>
      </c>
      <c r="C704" s="109">
        <v>43004.0</v>
      </c>
      <c r="D704" s="29">
        <v>17912.0</v>
      </c>
      <c r="E704" s="33">
        <f>E703-25.2</f>
        <v>0</v>
      </c>
      <c r="F704" s="34"/>
      <c r="G704" s="29"/>
      <c r="H704" s="10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2.75" customHeight="1">
      <c r="A705" s="29" t="s">
        <v>1122</v>
      </c>
      <c r="B705" s="31">
        <v>42811.0</v>
      </c>
      <c r="C705" s="29">
        <v>3009.0</v>
      </c>
      <c r="D705" s="29" t="s">
        <v>1457</v>
      </c>
      <c r="E705" s="33">
        <v>345.6</v>
      </c>
      <c r="F705" s="34">
        <v>43112.0</v>
      </c>
      <c r="G705" s="29" t="s">
        <v>995</v>
      </c>
      <c r="H705" s="113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ht="12.75" customHeight="1">
      <c r="A706" s="29"/>
      <c r="B706" s="41">
        <v>42908.0</v>
      </c>
      <c r="C706" s="41">
        <v>42914.0</v>
      </c>
      <c r="D706" s="42">
        <v>94490.0</v>
      </c>
      <c r="E706" s="33">
        <f>E705-228</f>
        <v>117.6</v>
      </c>
      <c r="F706" s="34"/>
      <c r="G706" s="29"/>
      <c r="H706" s="113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ht="12.75" customHeight="1">
      <c r="A707" s="29"/>
      <c r="B707" s="41">
        <v>42884.0</v>
      </c>
      <c r="C707" s="41">
        <v>42914.0</v>
      </c>
      <c r="D707" s="42">
        <v>93551.0</v>
      </c>
      <c r="E707" s="33">
        <f>E706-117.6</f>
        <v>0</v>
      </c>
      <c r="F707" s="34"/>
      <c r="G707" s="29"/>
      <c r="H707" s="113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ht="12.75" customHeight="1">
      <c r="A708" s="52" t="s">
        <v>1140</v>
      </c>
      <c r="B708" s="149">
        <v>42972.0</v>
      </c>
      <c r="C708" s="54">
        <v>3007.0</v>
      </c>
      <c r="D708" s="318" t="s">
        <v>1460</v>
      </c>
      <c r="E708" s="55">
        <v>4867.5</v>
      </c>
      <c r="F708" s="56">
        <v>43321.0</v>
      </c>
      <c r="G708" s="52" t="s">
        <v>1340</v>
      </c>
      <c r="H708" s="85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2.75" customHeight="1">
      <c r="A709" s="52" t="s">
        <v>1461</v>
      </c>
      <c r="B709" s="53">
        <v>42811.0</v>
      </c>
      <c r="C709" s="52">
        <v>3009.0</v>
      </c>
      <c r="D709" s="52" t="s">
        <v>1462</v>
      </c>
      <c r="E709" s="55">
        <v>16.0</v>
      </c>
      <c r="F709" s="56">
        <v>43112.0</v>
      </c>
      <c r="G709" s="52" t="s">
        <v>995</v>
      </c>
      <c r="H709" s="113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ht="12.75" customHeight="1">
      <c r="A710" s="319"/>
      <c r="B710" s="320">
        <v>42881.0</v>
      </c>
      <c r="C710" s="320">
        <v>42887.0</v>
      </c>
      <c r="D710" s="321">
        <v>501702.0</v>
      </c>
      <c r="E710" s="59">
        <f>E709-12</f>
        <v>4</v>
      </c>
      <c r="F710" s="322"/>
      <c r="G710" s="319"/>
      <c r="H710" s="113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ht="12.75" customHeight="1">
      <c r="A711" s="29" t="s">
        <v>1465</v>
      </c>
      <c r="B711" s="31">
        <v>42776.0</v>
      </c>
      <c r="C711" s="32">
        <v>3950.0</v>
      </c>
      <c r="D711" s="29" t="s">
        <v>1466</v>
      </c>
      <c r="E711" s="33">
        <v>150000.0</v>
      </c>
      <c r="F711" s="34"/>
      <c r="G711" s="29" t="s">
        <v>1467</v>
      </c>
      <c r="H711" s="141"/>
      <c r="I711" s="142"/>
      <c r="J711" s="141"/>
      <c r="K711" s="142"/>
      <c r="L711" s="141"/>
      <c r="M711" s="142"/>
      <c r="N711" s="141"/>
      <c r="O711" s="142"/>
      <c r="P711" s="141"/>
      <c r="Q711" s="142"/>
      <c r="R711" s="141"/>
      <c r="S711" s="67"/>
      <c r="T711" s="67"/>
      <c r="U711" s="67"/>
      <c r="V711" s="67"/>
      <c r="W711" s="67"/>
      <c r="X711" s="67"/>
      <c r="Y711" s="67"/>
      <c r="Z711" s="67"/>
    </row>
    <row r="712" ht="12.75" customHeight="1">
      <c r="A712" s="120"/>
      <c r="B712" s="119">
        <v>42822.0</v>
      </c>
      <c r="C712" s="29"/>
      <c r="D712" s="120">
        <v>1650.0</v>
      </c>
      <c r="E712" s="33">
        <f>E711-18970.83</f>
        <v>131029.17</v>
      </c>
      <c r="F712" s="120"/>
      <c r="G712" s="119"/>
      <c r="H712" s="147"/>
      <c r="I712" s="366"/>
      <c r="J712" s="147"/>
      <c r="K712" s="366"/>
      <c r="L712" s="147"/>
      <c r="M712" s="366"/>
      <c r="N712" s="147"/>
      <c r="O712" s="366"/>
      <c r="P712" s="147"/>
      <c r="Q712" s="366"/>
      <c r="R712" s="147"/>
      <c r="S712" s="67"/>
      <c r="T712" s="67"/>
      <c r="U712" s="67"/>
      <c r="V712" s="67"/>
      <c r="W712" s="67"/>
      <c r="X712" s="67"/>
      <c r="Y712" s="67"/>
      <c r="Z712" s="67"/>
    </row>
    <row r="713" ht="12.75" customHeight="1">
      <c r="A713" s="120"/>
      <c r="B713" s="119">
        <v>42849.0</v>
      </c>
      <c r="C713" s="29"/>
      <c r="D713" s="120">
        <v>2030.0</v>
      </c>
      <c r="E713" s="33">
        <f>E712-131029.17</f>
        <v>0</v>
      </c>
      <c r="F713" s="120"/>
      <c r="G713" s="119"/>
      <c r="H713" s="113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2.75" customHeight="1">
      <c r="A714" s="29" t="s">
        <v>1465</v>
      </c>
      <c r="B714" s="31">
        <v>42789.0</v>
      </c>
      <c r="C714" s="32">
        <v>3950.0</v>
      </c>
      <c r="D714" s="29" t="s">
        <v>1472</v>
      </c>
      <c r="E714" s="33">
        <v>150000.0</v>
      </c>
      <c r="F714" s="34"/>
      <c r="G714" s="29" t="s">
        <v>1473</v>
      </c>
      <c r="H714" s="19" t="s">
        <v>13</v>
      </c>
      <c r="I714" s="366"/>
      <c r="J714" s="147"/>
      <c r="K714" s="366"/>
      <c r="L714" s="147"/>
      <c r="M714" s="366"/>
      <c r="N714" s="147"/>
      <c r="O714" s="366"/>
      <c r="P714" s="147"/>
      <c r="Q714" s="366"/>
      <c r="R714" s="147"/>
      <c r="S714" s="67"/>
      <c r="T714" s="67"/>
      <c r="U714" s="67"/>
      <c r="V714" s="67"/>
      <c r="W714" s="67"/>
      <c r="X714" s="67"/>
      <c r="Y714" s="67"/>
      <c r="Z714" s="67"/>
    </row>
    <row r="715" ht="12.75" customHeight="1">
      <c r="A715" s="120"/>
      <c r="B715" s="119">
        <v>42849.0</v>
      </c>
      <c r="C715" s="29"/>
      <c r="D715" s="120">
        <v>2030.0</v>
      </c>
      <c r="E715" s="33">
        <f>E714-20881.04</f>
        <v>129118.96</v>
      </c>
      <c r="F715" s="120"/>
      <c r="G715" s="119"/>
      <c r="H715" s="113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ht="12.75" customHeight="1">
      <c r="A716" s="120"/>
      <c r="B716" s="119">
        <v>42867.0</v>
      </c>
      <c r="C716" s="119">
        <v>42887.0</v>
      </c>
      <c r="D716" s="120">
        <v>2182.0</v>
      </c>
      <c r="E716" s="33">
        <v>12550.4</v>
      </c>
      <c r="F716" s="120"/>
      <c r="G716" s="119"/>
      <c r="H716" s="113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ht="12.75" customHeight="1">
      <c r="A717" s="120"/>
      <c r="B717" s="119">
        <v>42983.0</v>
      </c>
      <c r="C717" s="119">
        <v>42999.0</v>
      </c>
      <c r="D717" s="120">
        <v>2597.0</v>
      </c>
      <c r="E717" s="33">
        <f>E716-12550.4</f>
        <v>0</v>
      </c>
      <c r="F717" s="120"/>
      <c r="G717" s="119"/>
      <c r="H717" s="113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ht="12.75" customHeight="1">
      <c r="A718" s="29" t="s">
        <v>1465</v>
      </c>
      <c r="B718" s="31">
        <v>42867.0</v>
      </c>
      <c r="C718" s="32">
        <v>3950.0</v>
      </c>
      <c r="D718" s="29" t="s">
        <v>1477</v>
      </c>
      <c r="E718" s="33">
        <v>630000.0</v>
      </c>
      <c r="F718" s="34"/>
      <c r="G718" s="29" t="s">
        <v>1473</v>
      </c>
      <c r="H718" s="19" t="s">
        <v>13</v>
      </c>
      <c r="I718" s="366"/>
      <c r="J718" s="147"/>
      <c r="K718" s="366"/>
      <c r="L718" s="147"/>
      <c r="M718" s="366"/>
      <c r="N718" s="147"/>
      <c r="O718" s="366"/>
      <c r="P718" s="147"/>
      <c r="Q718" s="366"/>
      <c r="R718" s="147"/>
      <c r="S718" s="67"/>
      <c r="T718" s="67"/>
      <c r="U718" s="67"/>
      <c r="V718" s="67"/>
      <c r="W718" s="67"/>
      <c r="X718" s="67"/>
      <c r="Y718" s="67"/>
      <c r="Z718" s="67"/>
    </row>
    <row r="719" ht="12.75" customHeight="1">
      <c r="A719" s="120"/>
      <c r="B719" s="119">
        <v>42905.0</v>
      </c>
      <c r="C719" s="119">
        <v>42920.0</v>
      </c>
      <c r="D719" s="120">
        <v>2360.0</v>
      </c>
      <c r="E719" s="33">
        <f>E718-136601.98</f>
        <v>493398.02</v>
      </c>
      <c r="F719" s="120"/>
      <c r="G719" s="119"/>
      <c r="H719" s="113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ht="12.75" customHeight="1">
      <c r="A720" s="120"/>
      <c r="B720" s="119">
        <v>42922.0</v>
      </c>
      <c r="C720" s="119">
        <v>42927.0</v>
      </c>
      <c r="D720" s="120">
        <v>2409.0</v>
      </c>
      <c r="E720" s="33">
        <f>E719-483156.03</f>
        <v>10241.99</v>
      </c>
      <c r="F720" s="120"/>
      <c r="G720" s="119"/>
      <c r="H720" s="113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ht="12.75" customHeight="1">
      <c r="A721" s="120"/>
      <c r="B721" s="119">
        <v>42950.0</v>
      </c>
      <c r="C721" s="119">
        <v>42954.0</v>
      </c>
      <c r="D721" s="120">
        <v>2486.0</v>
      </c>
      <c r="E721" s="33">
        <f>E720-10241.99</f>
        <v>0</v>
      </c>
      <c r="F721" s="120"/>
      <c r="G721" s="119"/>
      <c r="H721" s="113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ht="12.75" customHeight="1">
      <c r="A722" s="29" t="s">
        <v>1465</v>
      </c>
      <c r="B722" s="31">
        <v>42965.0</v>
      </c>
      <c r="C722" s="32">
        <v>3950.0</v>
      </c>
      <c r="D722" s="29" t="s">
        <v>1482</v>
      </c>
      <c r="E722" s="33">
        <v>718740.0</v>
      </c>
      <c r="F722" s="34"/>
      <c r="G722" s="29" t="s">
        <v>1473</v>
      </c>
      <c r="H722" s="19" t="s">
        <v>13</v>
      </c>
      <c r="I722" s="366"/>
      <c r="J722" s="147"/>
      <c r="K722" s="366"/>
      <c r="L722" s="147"/>
      <c r="M722" s="366"/>
      <c r="N722" s="147"/>
      <c r="O722" s="366"/>
      <c r="P722" s="147"/>
      <c r="Q722" s="366"/>
      <c r="R722" s="147"/>
      <c r="S722" s="67"/>
      <c r="T722" s="67"/>
      <c r="U722" s="67"/>
      <c r="V722" s="67"/>
      <c r="W722" s="67"/>
      <c r="X722" s="67"/>
      <c r="Y722" s="67"/>
      <c r="Z722" s="67"/>
    </row>
    <row r="723" ht="12.75" customHeight="1">
      <c r="A723" s="120"/>
      <c r="B723" s="119">
        <v>42950.0</v>
      </c>
      <c r="C723" s="119">
        <v>42954.0</v>
      </c>
      <c r="D723" s="120">
        <v>2486.0</v>
      </c>
      <c r="E723" s="33">
        <f>E722-332502.61</f>
        <v>386237.39</v>
      </c>
      <c r="F723" s="120"/>
      <c r="G723" s="119"/>
      <c r="H723" s="113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ht="12.75" customHeight="1">
      <c r="A724" s="120"/>
      <c r="B724" s="119">
        <v>42983.0</v>
      </c>
      <c r="C724" s="119">
        <v>42999.0</v>
      </c>
      <c r="D724" s="120">
        <v>2597.0</v>
      </c>
      <c r="E724" s="33">
        <f>E723-386237.39</f>
        <v>0</v>
      </c>
      <c r="F724" s="120"/>
      <c r="G724" s="119"/>
      <c r="H724" s="113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ht="12.75" customHeight="1">
      <c r="A725" s="120"/>
      <c r="B725" s="119">
        <v>42983.0</v>
      </c>
      <c r="C725" s="119">
        <v>43033.0</v>
      </c>
      <c r="D725" s="120">
        <v>2598.0</v>
      </c>
      <c r="E725" s="47">
        <f>E724-19115.88</f>
        <v>-19115.88</v>
      </c>
      <c r="F725" s="120"/>
      <c r="G725" s="119"/>
      <c r="H725" s="113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ht="12.75" customHeight="1">
      <c r="A726" s="120"/>
      <c r="B726" s="119">
        <v>43026.0</v>
      </c>
      <c r="C726" s="119">
        <v>43061.0</v>
      </c>
      <c r="D726" s="120">
        <v>2757.0</v>
      </c>
      <c r="E726" s="47">
        <f>E725-3490</f>
        <v>-22605.88</v>
      </c>
      <c r="F726" s="120"/>
      <c r="G726" s="119"/>
      <c r="H726" s="113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ht="12.75" customHeight="1">
      <c r="A727" s="120"/>
      <c r="B727" s="119">
        <v>43048.0</v>
      </c>
      <c r="C727" s="119">
        <v>43061.0</v>
      </c>
      <c r="D727" s="120">
        <v>2833.0</v>
      </c>
      <c r="E727" s="47">
        <f>E726-40533.8</f>
        <v>-63139.68</v>
      </c>
      <c r="F727" s="120"/>
      <c r="G727" s="119"/>
      <c r="H727" s="113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ht="12.75" customHeight="1">
      <c r="A728" s="120"/>
      <c r="B728" s="119">
        <v>43025.0</v>
      </c>
      <c r="C728" s="119">
        <v>43061.0</v>
      </c>
      <c r="D728" s="120">
        <v>2750.0</v>
      </c>
      <c r="E728" s="47">
        <f>E727-160260.46</f>
        <v>-223400.14</v>
      </c>
      <c r="F728" s="120"/>
      <c r="G728" s="119"/>
      <c r="H728" s="113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ht="12.75" customHeight="1">
      <c r="A729" s="120"/>
      <c r="B729" s="119">
        <v>42983.0</v>
      </c>
      <c r="C729" s="119">
        <v>43061.0</v>
      </c>
      <c r="D729" s="120">
        <v>2598.0</v>
      </c>
      <c r="E729" s="47">
        <f>E728-19115.88</f>
        <v>-242516.02</v>
      </c>
      <c r="F729" s="120"/>
      <c r="G729" s="119"/>
      <c r="H729" s="113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ht="12.75" customHeight="1">
      <c r="A730" s="120"/>
      <c r="B730" s="119">
        <v>43047.0</v>
      </c>
      <c r="C730" s="119">
        <v>43061.0</v>
      </c>
      <c r="D730" s="120">
        <v>2830.0</v>
      </c>
      <c r="E730" s="47">
        <f>E729-17330</f>
        <v>-259846.02</v>
      </c>
      <c r="F730" s="120"/>
      <c r="G730" s="119"/>
      <c r="H730" s="113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ht="12.75" customHeight="1">
      <c r="A731" s="52" t="s">
        <v>1485</v>
      </c>
      <c r="B731" s="149">
        <v>43010.0</v>
      </c>
      <c r="C731" s="52">
        <v>3007.0</v>
      </c>
      <c r="D731" s="150" t="s">
        <v>1486</v>
      </c>
      <c r="E731" s="55">
        <v>816.0</v>
      </c>
      <c r="F731" s="56">
        <v>43341.0</v>
      </c>
      <c r="G731" s="52" t="s">
        <v>593</v>
      </c>
      <c r="H731" s="85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2.75" customHeight="1">
      <c r="A732" s="52"/>
      <c r="B732" s="149"/>
      <c r="C732" s="52"/>
      <c r="D732" s="150"/>
      <c r="E732" s="55"/>
      <c r="F732" s="56"/>
      <c r="G732" s="52"/>
      <c r="H732" s="85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2.75" customHeight="1">
      <c r="A733" s="29" t="s">
        <v>1154</v>
      </c>
      <c r="B733" s="31">
        <v>42811.0</v>
      </c>
      <c r="C733" s="29">
        <v>3009.0</v>
      </c>
      <c r="D733" s="29" t="s">
        <v>1487</v>
      </c>
      <c r="E733" s="33">
        <v>14.4</v>
      </c>
      <c r="F733" s="34">
        <v>43112.0</v>
      </c>
      <c r="G733" s="29" t="s">
        <v>995</v>
      </c>
      <c r="H733" s="113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ht="12.75" customHeight="1">
      <c r="A734" s="120"/>
      <c r="B734" s="119">
        <v>42879.0</v>
      </c>
      <c r="C734" s="119">
        <v>42884.0</v>
      </c>
      <c r="D734" s="120">
        <v>69967.0</v>
      </c>
      <c r="E734" s="33">
        <f>E733-14.4</f>
        <v>0</v>
      </c>
      <c r="F734" s="120"/>
      <c r="G734" s="119"/>
      <c r="H734" s="113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ht="12.75" customHeight="1">
      <c r="A735" s="29" t="s">
        <v>1160</v>
      </c>
      <c r="B735" s="31">
        <v>42828.0</v>
      </c>
      <c r="C735" s="29">
        <v>3009.0</v>
      </c>
      <c r="D735" s="29" t="s">
        <v>1489</v>
      </c>
      <c r="E735" s="33">
        <v>971.0</v>
      </c>
      <c r="F735" s="34">
        <v>43112.0</v>
      </c>
      <c r="G735" s="29" t="s">
        <v>995</v>
      </c>
      <c r="H735" s="113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ht="12.75" customHeight="1">
      <c r="A736" s="120"/>
      <c r="B736" s="119">
        <v>42891.0</v>
      </c>
      <c r="C736" s="119">
        <v>42895.0</v>
      </c>
      <c r="D736" s="120">
        <v>66823.0</v>
      </c>
      <c r="E736" s="33">
        <f>E735-971</f>
        <v>0</v>
      </c>
      <c r="F736" s="120"/>
      <c r="G736" s="119"/>
      <c r="H736" s="113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ht="12.75" customHeight="1">
      <c r="A737" s="52" t="s">
        <v>1160</v>
      </c>
      <c r="B737" s="53">
        <v>42983.0</v>
      </c>
      <c r="C737" s="52">
        <v>3040.0</v>
      </c>
      <c r="D737" s="52" t="s">
        <v>1491</v>
      </c>
      <c r="E737" s="55">
        <v>6930.0</v>
      </c>
      <c r="F737" s="56">
        <v>43149.0</v>
      </c>
      <c r="G737" s="52" t="s">
        <v>1492</v>
      </c>
      <c r="H737" s="113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ht="12.0" customHeight="1">
      <c r="A738" s="375"/>
      <c r="B738" s="376">
        <v>43032.0</v>
      </c>
      <c r="C738" s="377">
        <v>43038.0</v>
      </c>
      <c r="D738" s="375">
        <v>70675.0</v>
      </c>
      <c r="E738" s="378">
        <f>E737-2310</f>
        <v>4620</v>
      </c>
      <c r="F738" s="379"/>
      <c r="G738" s="375"/>
      <c r="H738" s="380"/>
      <c r="I738" s="381"/>
      <c r="J738" s="381"/>
      <c r="K738" s="381"/>
      <c r="L738" s="381"/>
      <c r="M738" s="381"/>
      <c r="N738" s="381"/>
      <c r="O738" s="381"/>
      <c r="P738" s="381"/>
      <c r="Q738" s="381"/>
      <c r="R738" s="381"/>
      <c r="S738" s="381"/>
      <c r="T738" s="381"/>
      <c r="U738" s="381"/>
      <c r="V738" s="381"/>
      <c r="W738" s="381"/>
      <c r="X738" s="381"/>
      <c r="Y738" s="381"/>
      <c r="Z738" s="381"/>
    </row>
    <row r="739" ht="12.75" customHeight="1">
      <c r="A739" s="52" t="s">
        <v>1498</v>
      </c>
      <c r="B739" s="53">
        <v>42968.0</v>
      </c>
      <c r="C739" s="54">
        <v>3951.0</v>
      </c>
      <c r="D739" s="52" t="s">
        <v>1499</v>
      </c>
      <c r="E739" s="55">
        <v>1776.0</v>
      </c>
      <c r="F739" s="56">
        <v>43332.0</v>
      </c>
      <c r="G739" s="52" t="s">
        <v>1500</v>
      </c>
      <c r="H739" s="19" t="s">
        <v>13</v>
      </c>
      <c r="I739" s="366"/>
      <c r="J739" s="147"/>
      <c r="K739" s="366"/>
      <c r="L739" s="147"/>
      <c r="M739" s="366"/>
      <c r="N739" s="147"/>
      <c r="O739" s="366"/>
      <c r="P739" s="147"/>
      <c r="Q739" s="366"/>
      <c r="R739" s="147"/>
      <c r="S739" s="67"/>
      <c r="T739" s="67"/>
      <c r="U739" s="67"/>
      <c r="V739" s="67"/>
      <c r="W739" s="67"/>
      <c r="X739" s="67"/>
      <c r="Y739" s="67"/>
      <c r="Z739" s="67"/>
    </row>
    <row r="740" ht="12.75" customHeight="1">
      <c r="A740" s="121"/>
      <c r="B740" s="139">
        <v>43059.0</v>
      </c>
      <c r="C740" s="156">
        <v>43062.0</v>
      </c>
      <c r="D740" s="121">
        <v>2.01733557E8</v>
      </c>
      <c r="E740" s="155">
        <f>E739-148</f>
        <v>1628</v>
      </c>
      <c r="F740" s="124"/>
      <c r="G740" s="121"/>
      <c r="H740" s="67"/>
      <c r="I740" s="366"/>
      <c r="J740" s="147"/>
      <c r="K740" s="366"/>
      <c r="L740" s="147"/>
      <c r="M740" s="366"/>
      <c r="N740" s="147"/>
      <c r="O740" s="366"/>
      <c r="P740" s="147"/>
      <c r="Q740" s="366"/>
      <c r="R740" s="147"/>
      <c r="S740" s="67"/>
      <c r="T740" s="67"/>
      <c r="U740" s="67"/>
      <c r="V740" s="67"/>
      <c r="W740" s="67"/>
      <c r="X740" s="67"/>
      <c r="Y740" s="67"/>
      <c r="Z740" s="67"/>
    </row>
    <row r="741" ht="12.75" customHeight="1">
      <c r="A741" s="52" t="s">
        <v>1501</v>
      </c>
      <c r="B741" s="149">
        <v>43010.0</v>
      </c>
      <c r="C741" s="52">
        <v>3007.0</v>
      </c>
      <c r="D741" s="150" t="s">
        <v>1502</v>
      </c>
      <c r="E741" s="55">
        <v>2580.0</v>
      </c>
      <c r="F741" s="56">
        <v>43341.0</v>
      </c>
      <c r="G741" s="52" t="s">
        <v>593</v>
      </c>
      <c r="H741" s="85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2.75" customHeight="1">
      <c r="A742" s="44" t="s">
        <v>1503</v>
      </c>
      <c r="B742" s="45">
        <v>42748.0</v>
      </c>
      <c r="C742" s="46">
        <v>3028.0</v>
      </c>
      <c r="D742" s="44" t="s">
        <v>1504</v>
      </c>
      <c r="E742" s="47">
        <v>326.02</v>
      </c>
      <c r="F742" s="48">
        <v>43018.0</v>
      </c>
      <c r="G742" s="44" t="s">
        <v>958</v>
      </c>
      <c r="H742" s="30" t="s">
        <v>22</v>
      </c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ht="12.75" customHeight="1">
      <c r="A743" s="29" t="s">
        <v>1505</v>
      </c>
      <c r="B743" s="31">
        <v>42874.0</v>
      </c>
      <c r="C743" s="29">
        <v>3039.0</v>
      </c>
      <c r="D743" s="29" t="s">
        <v>1507</v>
      </c>
      <c r="E743" s="33">
        <v>13787.73</v>
      </c>
      <c r="F743" s="34"/>
      <c r="G743" s="29" t="s">
        <v>608</v>
      </c>
      <c r="H743" s="113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ht="12.75" customHeight="1">
      <c r="A744" s="29"/>
      <c r="B744" s="119">
        <v>42907.0</v>
      </c>
      <c r="C744" s="119">
        <v>42913.0</v>
      </c>
      <c r="D744" s="120">
        <v>43602.0</v>
      </c>
      <c r="E744" s="33">
        <f>E743-13787.73</f>
        <v>0</v>
      </c>
      <c r="F744" s="34"/>
      <c r="G744" s="29"/>
      <c r="H744" s="113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ht="12.75" customHeight="1">
      <c r="A745" s="29" t="s">
        <v>1509</v>
      </c>
      <c r="B745" s="31">
        <v>42826.0</v>
      </c>
      <c r="C745" s="29">
        <v>3036.0</v>
      </c>
      <c r="D745" s="29" t="s">
        <v>1510</v>
      </c>
      <c r="E745" s="33">
        <v>8772.0</v>
      </c>
      <c r="F745" s="34">
        <v>43189.0</v>
      </c>
      <c r="G745" s="29" t="s">
        <v>628</v>
      </c>
      <c r="H745" s="113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ht="12.75" customHeight="1">
      <c r="A746" s="120"/>
      <c r="B746" s="119">
        <v>42879.0</v>
      </c>
      <c r="C746" s="119">
        <v>42884.0</v>
      </c>
      <c r="D746" s="120">
        <v>2278.0</v>
      </c>
      <c r="E746" s="33">
        <f>E745-8772</f>
        <v>0</v>
      </c>
      <c r="F746" s="120"/>
      <c r="G746" s="119"/>
      <c r="H746" s="113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ht="12.75" customHeight="1">
      <c r="A747" s="52" t="s">
        <v>1511</v>
      </c>
      <c r="B747" s="149">
        <v>43040.0</v>
      </c>
      <c r="C747" s="52">
        <v>3950.0</v>
      </c>
      <c r="D747" s="150" t="s">
        <v>1512</v>
      </c>
      <c r="E747" s="55">
        <v>23000.0</v>
      </c>
      <c r="F747" s="56">
        <v>43390.0</v>
      </c>
      <c r="G747" s="52" t="s">
        <v>1513</v>
      </c>
      <c r="H747" s="85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2.75" customHeight="1">
      <c r="A748" s="29" t="s">
        <v>1514</v>
      </c>
      <c r="B748" s="31">
        <v>42906.0</v>
      </c>
      <c r="C748" s="29">
        <v>3016.0</v>
      </c>
      <c r="D748" s="29" t="s">
        <v>1515</v>
      </c>
      <c r="E748" s="33">
        <v>1743.0</v>
      </c>
      <c r="F748" s="34"/>
      <c r="G748" s="29" t="s">
        <v>590</v>
      </c>
      <c r="H748" s="10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2.75" customHeight="1">
      <c r="A749" s="29"/>
      <c r="B749" s="31">
        <v>42949.0</v>
      </c>
      <c r="C749" s="29">
        <v>3642.0</v>
      </c>
      <c r="D749" s="29">
        <v>3642.0</v>
      </c>
      <c r="E749" s="33">
        <f>E748-1743</f>
        <v>0</v>
      </c>
      <c r="F749" s="34"/>
      <c r="G749" s="29"/>
      <c r="H749" s="10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2.75" customHeight="1">
      <c r="A750" s="29" t="s">
        <v>1519</v>
      </c>
      <c r="B750" s="31">
        <v>42983.0</v>
      </c>
      <c r="C750" s="29">
        <v>3022.0</v>
      </c>
      <c r="D750" s="29" t="s">
        <v>1520</v>
      </c>
      <c r="E750" s="33">
        <v>16920.0</v>
      </c>
      <c r="F750" s="34"/>
      <c r="G750" s="29" t="s">
        <v>1295</v>
      </c>
      <c r="H750" s="113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ht="12.75" customHeight="1">
      <c r="A751" s="29"/>
      <c r="B751" s="31">
        <v>43005.0</v>
      </c>
      <c r="C751" s="148">
        <v>43018.0</v>
      </c>
      <c r="D751" s="29">
        <v>3234.0</v>
      </c>
      <c r="E751" s="33">
        <f>E750-16920</f>
        <v>0</v>
      </c>
      <c r="F751" s="34"/>
      <c r="G751" s="29"/>
      <c r="H751" s="113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ht="12.75" customHeight="1">
      <c r="A752" s="52" t="s">
        <v>944</v>
      </c>
      <c r="B752" s="149">
        <v>43031.0</v>
      </c>
      <c r="C752" s="52">
        <v>3957.0</v>
      </c>
      <c r="D752" s="150" t="s">
        <v>1524</v>
      </c>
      <c r="E752" s="55">
        <v>16332.0</v>
      </c>
      <c r="F752" s="56">
        <v>43410.0</v>
      </c>
      <c r="G752" s="52" t="s">
        <v>1525</v>
      </c>
      <c r="H752" s="85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2.75" customHeight="1">
      <c r="A753" s="29" t="s">
        <v>1527</v>
      </c>
      <c r="B753" s="31">
        <v>42908.0</v>
      </c>
      <c r="C753" s="29">
        <v>3016.0</v>
      </c>
      <c r="D753" s="29" t="s">
        <v>1528</v>
      </c>
      <c r="E753" s="33">
        <v>236.9</v>
      </c>
      <c r="F753" s="34"/>
      <c r="G753" s="29" t="s">
        <v>590</v>
      </c>
      <c r="H753" s="113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ht="12.75" customHeight="1">
      <c r="A754" s="29"/>
      <c r="B754" s="119">
        <v>42933.0</v>
      </c>
      <c r="C754" s="119">
        <v>42937.0</v>
      </c>
      <c r="D754" s="120">
        <v>7550.0</v>
      </c>
      <c r="E754" s="33">
        <f>E753-236.9</f>
        <v>0</v>
      </c>
      <c r="F754" s="34"/>
      <c r="G754" s="29"/>
      <c r="H754" s="113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ht="12.75" customHeight="1">
      <c r="A755" s="44" t="s">
        <v>1531</v>
      </c>
      <c r="B755" s="115">
        <v>42864.0</v>
      </c>
      <c r="C755" s="116">
        <v>3028.0</v>
      </c>
      <c r="D755" s="116" t="s">
        <v>1001</v>
      </c>
      <c r="E755" s="47">
        <v>793.5</v>
      </c>
      <c r="F755" s="48"/>
      <c r="G755" s="44" t="s">
        <v>1532</v>
      </c>
      <c r="H755" s="387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44"/>
      <c r="B756" s="115">
        <v>43018.0</v>
      </c>
      <c r="C756" s="115">
        <v>43028.0</v>
      </c>
      <c r="D756" s="116">
        <v>212315.0</v>
      </c>
      <c r="E756" s="47">
        <f>E755-740.6</f>
        <v>52.9</v>
      </c>
      <c r="F756" s="48" t="s">
        <v>1533</v>
      </c>
      <c r="G756" s="44"/>
      <c r="H756" s="387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52" t="s">
        <v>1531</v>
      </c>
      <c r="B757" s="53">
        <v>43031.0</v>
      </c>
      <c r="C757" s="52">
        <v>3036.0</v>
      </c>
      <c r="D757" s="52" t="s">
        <v>1534</v>
      </c>
      <c r="E757" s="55">
        <v>50571.75</v>
      </c>
      <c r="F757" s="56">
        <v>43174.0</v>
      </c>
      <c r="G757" s="52" t="s">
        <v>654</v>
      </c>
      <c r="H757" s="113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ht="12.75" customHeight="1">
      <c r="A758" s="29" t="s">
        <v>1270</v>
      </c>
      <c r="B758" s="31">
        <v>42780.0</v>
      </c>
      <c r="C758" s="32">
        <v>3036.0</v>
      </c>
      <c r="D758" s="29" t="s">
        <v>1535</v>
      </c>
      <c r="E758" s="33">
        <v>198.9</v>
      </c>
      <c r="F758" s="34"/>
      <c r="G758" s="29" t="s">
        <v>1539</v>
      </c>
      <c r="H758" s="1"/>
      <c r="I758" s="1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29"/>
      <c r="B759" s="41">
        <v>42823.0</v>
      </c>
      <c r="C759" s="72"/>
      <c r="D759" s="42">
        <v>41398.0</v>
      </c>
      <c r="E759" s="33">
        <f>E758-198.9</f>
        <v>0</v>
      </c>
      <c r="F759" s="34"/>
      <c r="G759" s="29"/>
      <c r="H759" s="113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ht="12.75" customHeight="1">
      <c r="A760" s="44" t="s">
        <v>1270</v>
      </c>
      <c r="B760" s="45">
        <v>42864.0</v>
      </c>
      <c r="C760" s="44">
        <v>3036.0</v>
      </c>
      <c r="D760" s="44" t="s">
        <v>1540</v>
      </c>
      <c r="E760" s="47">
        <v>703.0</v>
      </c>
      <c r="F760" s="48"/>
      <c r="G760" s="44" t="s">
        <v>997</v>
      </c>
      <c r="H760" s="30" t="s">
        <v>22</v>
      </c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2.75" customHeight="1">
      <c r="A761" s="44"/>
      <c r="B761" s="115">
        <v>43013.0</v>
      </c>
      <c r="C761" s="390">
        <v>43017.0</v>
      </c>
      <c r="D761" s="391">
        <v>47672.0</v>
      </c>
      <c r="E761" s="47">
        <f>E760-185</f>
        <v>518</v>
      </c>
      <c r="F761" s="48" t="s">
        <v>1533</v>
      </c>
      <c r="G761" s="44"/>
      <c r="H761" s="392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ht="12.75" customHeight="1">
      <c r="A762" s="29"/>
      <c r="B762" s="119"/>
      <c r="C762" s="393"/>
      <c r="D762" s="292"/>
      <c r="E762" s="33"/>
      <c r="F762" s="34"/>
      <c r="G762" s="29"/>
      <c r="H762" s="10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2.75" customHeight="1">
      <c r="A763" s="29" t="s">
        <v>1270</v>
      </c>
      <c r="B763" s="31">
        <v>42867.0</v>
      </c>
      <c r="C763" s="29">
        <v>3036.0</v>
      </c>
      <c r="D763" s="29" t="s">
        <v>1544</v>
      </c>
      <c r="E763" s="33">
        <v>1337.4</v>
      </c>
      <c r="F763" s="34"/>
      <c r="G763" s="29" t="s">
        <v>760</v>
      </c>
      <c r="H763" s="10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2.75" customHeight="1">
      <c r="A764" s="29"/>
      <c r="B764" s="31">
        <v>42950.0</v>
      </c>
      <c r="C764" s="148">
        <v>42969.0</v>
      </c>
      <c r="D764" s="29">
        <v>45326.0</v>
      </c>
      <c r="E764" s="33">
        <f>E763-536.4</f>
        <v>801</v>
      </c>
      <c r="F764" s="34"/>
      <c r="G764" s="29"/>
      <c r="H764" s="10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2.75" customHeight="1">
      <c r="A765" s="29"/>
      <c r="B765" s="31">
        <v>42964.0</v>
      </c>
      <c r="C765" s="148">
        <v>42969.0</v>
      </c>
      <c r="D765" s="29">
        <v>45776.0</v>
      </c>
      <c r="E765" s="33">
        <f>E764-801</f>
        <v>0</v>
      </c>
      <c r="F765" s="34"/>
      <c r="G765" s="29"/>
      <c r="H765" s="10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2.75" customHeight="1">
      <c r="A766" s="29" t="s">
        <v>1549</v>
      </c>
      <c r="B766" s="31">
        <v>42768.0</v>
      </c>
      <c r="C766" s="32">
        <v>3916.0</v>
      </c>
      <c r="D766" s="29" t="s">
        <v>1550</v>
      </c>
      <c r="E766" s="33">
        <v>6000.0</v>
      </c>
      <c r="F766" s="34">
        <v>43090.0</v>
      </c>
      <c r="G766" s="29" t="s">
        <v>1552</v>
      </c>
      <c r="H766" s="10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2.75" customHeight="1">
      <c r="A767" s="29"/>
      <c r="B767" s="119">
        <v>42807.0</v>
      </c>
      <c r="C767" s="29"/>
      <c r="D767" s="120">
        <v>1461.0</v>
      </c>
      <c r="E767" s="33">
        <f>E766-5811.98</f>
        <v>188.02</v>
      </c>
      <c r="F767" s="34"/>
      <c r="G767" s="29"/>
      <c r="H767" s="10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2.75" customHeight="1">
      <c r="A768" s="29"/>
      <c r="B768" s="119">
        <v>43010.0</v>
      </c>
      <c r="C768" s="148">
        <v>43014.0</v>
      </c>
      <c r="D768" s="120">
        <v>1652.0</v>
      </c>
      <c r="E768" s="33">
        <f>E767-188</f>
        <v>0.02</v>
      </c>
      <c r="F768" s="34"/>
      <c r="G768" s="29"/>
      <c r="H768" s="10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2.75" customHeight="1">
      <c r="A769" s="52" t="s">
        <v>1549</v>
      </c>
      <c r="B769" s="53">
        <v>42779.0</v>
      </c>
      <c r="C769" s="54">
        <v>3916.0</v>
      </c>
      <c r="D769" s="52" t="s">
        <v>1556</v>
      </c>
      <c r="E769" s="55">
        <v>18000.0</v>
      </c>
      <c r="F769" s="56">
        <v>43090.0</v>
      </c>
      <c r="G769" s="52" t="s">
        <v>1552</v>
      </c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50"/>
      <c r="B770" s="142">
        <v>42809.0</v>
      </c>
      <c r="C770" s="121"/>
      <c r="D770" s="141">
        <v>1460.0</v>
      </c>
      <c r="E770" s="59">
        <f>E769-5115.75</f>
        <v>12884.25</v>
      </c>
      <c r="F770" s="60"/>
      <c r="G770" s="50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50"/>
      <c r="B771" s="142">
        <v>42815.0</v>
      </c>
      <c r="C771" s="121"/>
      <c r="D771" s="141">
        <v>1470.0</v>
      </c>
      <c r="E771" s="59">
        <f>E770-1406.37</f>
        <v>11477.88</v>
      </c>
      <c r="F771" s="60"/>
      <c r="G771" s="50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50"/>
      <c r="B772" s="142">
        <v>42818.0</v>
      </c>
      <c r="C772" s="121"/>
      <c r="D772" s="141">
        <v>1471.0</v>
      </c>
      <c r="E772" s="59">
        <f>E771-1759.28</f>
        <v>9718.6</v>
      </c>
      <c r="F772" s="60"/>
      <c r="G772" s="50"/>
      <c r="H772" s="113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ht="12.75" customHeight="1">
      <c r="A773" s="50"/>
      <c r="B773" s="142">
        <v>42866.0</v>
      </c>
      <c r="C773" s="142">
        <v>42873.0</v>
      </c>
      <c r="D773" s="141">
        <v>1523.0</v>
      </c>
      <c r="E773" s="59">
        <f>E772-1729.21</f>
        <v>7989.39</v>
      </c>
      <c r="F773" s="60"/>
      <c r="G773" s="50"/>
      <c r="H773" s="113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ht="12.75" customHeight="1">
      <c r="A774" s="50"/>
      <c r="B774" s="142">
        <v>42905.0</v>
      </c>
      <c r="C774" s="142">
        <v>42908.0</v>
      </c>
      <c r="D774" s="141">
        <v>1558.0</v>
      </c>
      <c r="E774" s="59">
        <f>E773-818.45</f>
        <v>7170.94</v>
      </c>
      <c r="F774" s="60"/>
      <c r="G774" s="50"/>
      <c r="H774" s="113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ht="12.75" customHeight="1">
      <c r="A775" s="50"/>
      <c r="B775" s="142">
        <v>42969.0</v>
      </c>
      <c r="C775" s="142">
        <v>42978.0</v>
      </c>
      <c r="D775" s="141">
        <v>1620.0</v>
      </c>
      <c r="E775" s="59">
        <f>E774-1169.24</f>
        <v>6001.7</v>
      </c>
      <c r="F775" s="60"/>
      <c r="G775" s="50"/>
      <c r="H775" s="113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ht="12.75" customHeight="1">
      <c r="A776" s="50"/>
      <c r="B776" s="142">
        <v>43018.0</v>
      </c>
      <c r="C776" s="142">
        <v>43033.0</v>
      </c>
      <c r="D776" s="141">
        <v>1672.0</v>
      </c>
      <c r="E776" s="59">
        <f>E775-2316.24</f>
        <v>3685.46</v>
      </c>
      <c r="F776" s="60"/>
      <c r="G776" s="50"/>
      <c r="H776" s="113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ht="12.75" customHeight="1">
      <c r="A777" s="52" t="s">
        <v>1571</v>
      </c>
      <c r="B777" s="53">
        <v>42934.0</v>
      </c>
      <c r="C777" s="54">
        <v>3035.0</v>
      </c>
      <c r="D777" s="52" t="s">
        <v>1572</v>
      </c>
      <c r="E777" s="55">
        <f>E774-1169.24</f>
        <v>6001.7</v>
      </c>
      <c r="F777" s="56">
        <v>43223.0</v>
      </c>
      <c r="G777" s="52" t="s">
        <v>1573</v>
      </c>
      <c r="H777" s="113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ht="12.75" customHeight="1">
      <c r="A778" s="50"/>
      <c r="B778" s="142">
        <v>43033.0</v>
      </c>
      <c r="C778" s="142">
        <v>43045.0</v>
      </c>
      <c r="D778" s="141">
        <v>33690.0</v>
      </c>
      <c r="E778" s="59">
        <f>E777-2698.27</f>
        <v>3303.43</v>
      </c>
      <c r="F778" s="60"/>
      <c r="G778" s="50"/>
      <c r="H778" s="113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ht="12.75" customHeight="1">
      <c r="A779" s="29" t="s">
        <v>1576</v>
      </c>
      <c r="B779" s="31">
        <v>42748.0</v>
      </c>
      <c r="C779" s="32">
        <v>3028.0</v>
      </c>
      <c r="D779" s="29" t="s">
        <v>1577</v>
      </c>
      <c r="E779" s="33">
        <v>513.5</v>
      </c>
      <c r="F779" s="34"/>
      <c r="G779" s="29" t="s">
        <v>958</v>
      </c>
      <c r="H779" s="10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2.75" customHeight="1">
      <c r="A780" s="29"/>
      <c r="B780" s="31">
        <v>42982.0</v>
      </c>
      <c r="C780" s="109">
        <v>42975.0</v>
      </c>
      <c r="D780" s="29">
        <v>21034.0</v>
      </c>
      <c r="E780" s="33">
        <f>E779-513.5</f>
        <v>0</v>
      </c>
      <c r="F780" s="34"/>
      <c r="G780" s="29"/>
      <c r="H780" s="10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2.75" customHeight="1">
      <c r="A781" s="52" t="s">
        <v>473</v>
      </c>
      <c r="B781" s="76">
        <v>42828.0</v>
      </c>
      <c r="C781" s="52">
        <v>3950.0</v>
      </c>
      <c r="D781" s="52" t="s">
        <v>1580</v>
      </c>
      <c r="E781" s="55">
        <v>10000.0</v>
      </c>
      <c r="F781" s="56"/>
      <c r="G781" s="52" t="s">
        <v>1581</v>
      </c>
      <c r="H781" s="19" t="s">
        <v>13</v>
      </c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ht="12.75" customHeight="1">
      <c r="A782" s="121"/>
      <c r="B782" s="395">
        <v>42993.0</v>
      </c>
      <c r="C782" s="140">
        <v>43000.0</v>
      </c>
      <c r="D782" s="121">
        <v>3924.0</v>
      </c>
      <c r="E782" s="59">
        <f>E781-26.81</f>
        <v>9973.19</v>
      </c>
      <c r="F782" s="124"/>
      <c r="G782" s="121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ht="12.75" customHeight="1">
      <c r="A783" s="121"/>
      <c r="B783" s="395">
        <v>43053.0</v>
      </c>
      <c r="C783" s="140">
        <v>43060.0</v>
      </c>
      <c r="D783" s="121">
        <v>4099.0</v>
      </c>
      <c r="E783" s="59">
        <f>E782-4662.32</f>
        <v>5310.87</v>
      </c>
      <c r="F783" s="124"/>
      <c r="G783" s="121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ht="12.75" customHeight="1">
      <c r="A784" s="52" t="s">
        <v>473</v>
      </c>
      <c r="B784" s="76">
        <v>42965.0</v>
      </c>
      <c r="C784" s="52">
        <v>3950.0</v>
      </c>
      <c r="D784" s="52" t="s">
        <v>1587</v>
      </c>
      <c r="E784" s="55">
        <v>27000.0</v>
      </c>
      <c r="F784" s="56"/>
      <c r="G784" s="52" t="s">
        <v>1588</v>
      </c>
      <c r="H784" s="19" t="s">
        <v>13</v>
      </c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ht="12.75" customHeight="1">
      <c r="A785" s="121"/>
      <c r="B785" s="395">
        <v>43034.0</v>
      </c>
      <c r="C785" s="140">
        <v>43047.0</v>
      </c>
      <c r="D785" s="121">
        <v>4045.0</v>
      </c>
      <c r="E785" s="59">
        <f>E784-5524.74</f>
        <v>21475.26</v>
      </c>
      <c r="F785" s="124"/>
      <c r="G785" s="121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ht="12.75" customHeight="1">
      <c r="A786" s="29" t="s">
        <v>1589</v>
      </c>
      <c r="B786" s="31">
        <v>42908.0</v>
      </c>
      <c r="C786" s="29">
        <v>3016.0</v>
      </c>
      <c r="D786" s="29" t="s">
        <v>1590</v>
      </c>
      <c r="E786" s="33">
        <v>2252.31</v>
      </c>
      <c r="F786" s="34"/>
      <c r="G786" s="29" t="s">
        <v>590</v>
      </c>
      <c r="H786" s="10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2.75" customHeight="1">
      <c r="A787" s="29"/>
      <c r="B787" s="31">
        <v>42970.0</v>
      </c>
      <c r="C787" s="84">
        <v>42978.0</v>
      </c>
      <c r="D787" s="29">
        <v>1066.0</v>
      </c>
      <c r="E787" s="33">
        <f>E786-E786</f>
        <v>0</v>
      </c>
      <c r="F787" s="34"/>
      <c r="G787" s="29"/>
      <c r="H787" s="10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2.75" customHeight="1">
      <c r="A788" s="52" t="s">
        <v>466</v>
      </c>
      <c r="B788" s="53">
        <v>42885.0</v>
      </c>
      <c r="C788" s="73">
        <v>3950.0</v>
      </c>
      <c r="D788" s="52" t="s">
        <v>1591</v>
      </c>
      <c r="E788" s="55">
        <v>200000.0</v>
      </c>
      <c r="F788" s="56">
        <v>43246.0</v>
      </c>
      <c r="G788" s="52" t="s">
        <v>1592</v>
      </c>
      <c r="H788" s="1"/>
      <c r="I788" s="1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21"/>
      <c r="B789" s="139">
        <v>43025.0</v>
      </c>
      <c r="C789" s="156">
        <v>43039.0</v>
      </c>
      <c r="D789" s="121">
        <v>15229.0</v>
      </c>
      <c r="E789" s="59">
        <f>E788-18712.4</f>
        <v>181287.6</v>
      </c>
      <c r="F789" s="124"/>
      <c r="G789" s="121"/>
      <c r="H789" s="67"/>
      <c r="I789" s="113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ht="12.75" customHeight="1">
      <c r="A790" s="121"/>
      <c r="B790" s="139">
        <v>43026.0</v>
      </c>
      <c r="C790" s="397">
        <v>43039.0</v>
      </c>
      <c r="D790" s="121">
        <v>15232.0</v>
      </c>
      <c r="E790" s="59">
        <f>E789-55426.13</f>
        <v>125861.47</v>
      </c>
      <c r="F790" s="124"/>
      <c r="G790" s="121"/>
      <c r="H790" s="67"/>
      <c r="I790" s="113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ht="12.75" customHeight="1">
      <c r="A791" s="52" t="s">
        <v>466</v>
      </c>
      <c r="B791" s="53">
        <v>43010.0</v>
      </c>
      <c r="C791" s="73">
        <v>3950.0</v>
      </c>
      <c r="D791" s="52" t="s">
        <v>1595</v>
      </c>
      <c r="E791" s="55">
        <v>164000.0</v>
      </c>
      <c r="F791" s="56">
        <v>43246.0</v>
      </c>
      <c r="G791" s="52" t="s">
        <v>1596</v>
      </c>
      <c r="H791" s="1"/>
      <c r="I791" s="1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44" t="s">
        <v>1598</v>
      </c>
      <c r="B792" s="45">
        <v>42748.0</v>
      </c>
      <c r="C792" s="46">
        <v>3028.0</v>
      </c>
      <c r="D792" s="44" t="s">
        <v>1599</v>
      </c>
      <c r="E792" s="47">
        <v>101.25</v>
      </c>
      <c r="F792" s="48">
        <v>43018.0</v>
      </c>
      <c r="G792" s="44" t="s">
        <v>958</v>
      </c>
      <c r="H792" s="30" t="s">
        <v>22</v>
      </c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ht="12.75" customHeight="1">
      <c r="A793" s="1"/>
      <c r="B793" s="20"/>
      <c r="C793" s="1"/>
      <c r="D793" s="1"/>
      <c r="E793" s="9"/>
      <c r="F793" s="77"/>
      <c r="G793" s="1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5"/>
      <c r="C794" s="1"/>
      <c r="D794" s="1"/>
      <c r="E794" s="9"/>
      <c r="F794" s="77"/>
      <c r="G794" s="1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33"/>
      <c r="B795" s="133"/>
      <c r="C795" s="1"/>
      <c r="D795" s="133"/>
      <c r="E795" s="398"/>
      <c r="F795" s="399"/>
      <c r="G795" s="1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9"/>
      <c r="F796" s="77"/>
      <c r="G796" s="1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B797" s="1"/>
      <c r="C797" s="1"/>
      <c r="D797" s="1"/>
      <c r="E797" s="400"/>
      <c r="F797" s="1"/>
      <c r="G797" s="1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77"/>
      <c r="G798" s="1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B799" s="1"/>
      <c r="C799" s="1"/>
      <c r="D799" s="1"/>
      <c r="E799" s="9"/>
      <c r="F799" s="77"/>
      <c r="G799" s="402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B800" s="1"/>
      <c r="C800" s="1"/>
      <c r="D800" s="1"/>
      <c r="E800" s="9"/>
      <c r="F800" s="77"/>
      <c r="G800" s="1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9"/>
      <c r="F801" s="77"/>
      <c r="G801" s="1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B802" s="1"/>
      <c r="C802" s="1"/>
      <c r="D802" s="1"/>
      <c r="E802" s="9"/>
      <c r="F802" s="77"/>
      <c r="G802" s="403"/>
      <c r="H802" s="113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ht="14.25" customHeight="1">
      <c r="A803" s="67"/>
      <c r="B803" s="67"/>
      <c r="C803" s="67"/>
      <c r="D803" s="67"/>
      <c r="E803" s="404"/>
      <c r="F803" s="406"/>
      <c r="G803" s="407"/>
      <c r="H803" s="113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ht="14.25" customHeight="1">
      <c r="A804" s="67"/>
      <c r="B804" s="67"/>
      <c r="C804" s="67"/>
      <c r="D804" s="408"/>
      <c r="E804" s="404"/>
      <c r="F804" s="406"/>
      <c r="G804" s="40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ht="14.25" customHeight="1">
      <c r="A805" s="67"/>
      <c r="B805" s="67"/>
      <c r="C805" s="67"/>
      <c r="D805" s="67"/>
      <c r="E805" s="410"/>
      <c r="F805" s="406"/>
      <c r="G805" s="40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ht="14.25" customHeight="1">
      <c r="A806" s="67"/>
      <c r="B806" s="67"/>
      <c r="C806" s="67"/>
      <c r="D806" s="67"/>
      <c r="E806" s="410"/>
      <c r="F806" s="406"/>
      <c r="G806" s="40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ht="14.25" customHeight="1">
      <c r="A807" s="67"/>
      <c r="B807" s="67"/>
      <c r="C807" s="67"/>
      <c r="D807" s="67"/>
      <c r="E807" s="410"/>
      <c r="F807" s="406"/>
      <c r="G807" s="40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ht="14.25" customHeight="1">
      <c r="A808" s="67"/>
      <c r="B808" s="324"/>
      <c r="C808" s="67"/>
      <c r="D808" s="67"/>
      <c r="E808" s="410"/>
      <c r="F808" s="406"/>
      <c r="G808" s="411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ht="14.25" customHeight="1">
      <c r="A809" s="67"/>
      <c r="B809" s="324"/>
      <c r="C809" s="67"/>
      <c r="D809" s="67"/>
      <c r="E809" s="410"/>
      <c r="F809" s="406"/>
      <c r="G809" s="40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ht="14.25" customHeight="1">
      <c r="A810" s="412"/>
      <c r="B810" s="67"/>
      <c r="C810" s="67"/>
      <c r="D810" s="67"/>
      <c r="E810" s="410"/>
      <c r="F810" s="406"/>
      <c r="G810" s="40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ht="14.25" customHeight="1">
      <c r="A811" s="412"/>
      <c r="B811" s="67"/>
      <c r="C811" s="67"/>
      <c r="D811" s="67"/>
      <c r="E811" s="410"/>
      <c r="F811" s="406"/>
      <c r="G811" s="40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ht="14.25" customHeight="1">
      <c r="A812" s="412"/>
      <c r="B812" s="67"/>
      <c r="C812" s="67"/>
      <c r="D812" s="67"/>
      <c r="E812" s="410"/>
      <c r="F812" s="406"/>
      <c r="G812" s="40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ht="14.25" customHeight="1">
      <c r="A813" s="412"/>
      <c r="B813" s="324"/>
      <c r="C813" s="67"/>
      <c r="D813" s="67"/>
      <c r="E813" s="410"/>
      <c r="F813" s="406"/>
      <c r="G813" s="40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ht="14.25" customHeight="1">
      <c r="A814" s="412"/>
      <c r="B814" s="324"/>
      <c r="C814" s="67"/>
      <c r="D814" s="67"/>
      <c r="E814" s="410"/>
      <c r="F814" s="406"/>
      <c r="G814" s="40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ht="14.25" customHeight="1">
      <c r="A815" s="412"/>
      <c r="B815" s="67"/>
      <c r="C815" s="67"/>
      <c r="D815" s="67"/>
      <c r="E815" s="410"/>
      <c r="F815" s="406"/>
      <c r="G815" s="40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ht="14.25" customHeight="1">
      <c r="A816" s="412"/>
      <c r="B816" s="324"/>
      <c r="C816" s="67"/>
      <c r="D816" s="67"/>
      <c r="E816" s="410"/>
      <c r="F816" s="406"/>
      <c r="G816" s="40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ht="14.25" customHeight="1">
      <c r="A817" s="412"/>
      <c r="B817" s="324"/>
      <c r="C817" s="67"/>
      <c r="D817" s="67"/>
      <c r="E817" s="410"/>
      <c r="F817" s="406"/>
      <c r="G817" s="40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ht="14.25" customHeight="1">
      <c r="A818" s="412"/>
      <c r="B818" s="324"/>
      <c r="C818" s="67"/>
      <c r="D818" s="67"/>
      <c r="E818" s="410"/>
      <c r="F818" s="406"/>
      <c r="G818" s="40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ht="14.25" customHeight="1">
      <c r="A819" s="412"/>
      <c r="B819" s="67"/>
      <c r="C819" s="67"/>
      <c r="D819" s="408"/>
      <c r="E819" s="410"/>
      <c r="F819" s="406"/>
      <c r="G819" s="40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ht="14.25" customHeight="1">
      <c r="A820" s="412"/>
      <c r="B820" s="67"/>
      <c r="C820" s="67"/>
      <c r="D820" s="408"/>
      <c r="E820" s="410"/>
      <c r="F820" s="406"/>
      <c r="G820" s="407"/>
    </row>
    <row r="821" ht="14.25" customHeight="1">
      <c r="A821" s="412"/>
      <c r="B821" s="67"/>
      <c r="C821" s="67"/>
      <c r="D821" s="408"/>
      <c r="E821" s="410"/>
      <c r="F821" s="406"/>
      <c r="G821" s="407"/>
    </row>
    <row r="822" ht="14.25" customHeight="1">
      <c r="A822" s="412"/>
      <c r="B822" s="67"/>
      <c r="C822" s="67"/>
      <c r="D822" s="408"/>
      <c r="E822" s="410"/>
      <c r="F822" s="406"/>
      <c r="G822" s="407"/>
    </row>
    <row r="823" ht="14.25" customHeight="1">
      <c r="A823" s="412"/>
      <c r="B823" s="67"/>
      <c r="C823" s="67"/>
      <c r="D823" s="408"/>
      <c r="E823" s="410"/>
      <c r="F823" s="406"/>
      <c r="G823" s="407"/>
    </row>
    <row r="824" ht="14.25" customHeight="1">
      <c r="A824" s="412"/>
      <c r="B824" s="67"/>
      <c r="C824" s="67"/>
      <c r="D824" s="408"/>
      <c r="E824" s="410"/>
      <c r="F824" s="406"/>
      <c r="G824" s="407"/>
    </row>
    <row r="825" ht="14.25" customHeight="1">
      <c r="A825" s="412"/>
      <c r="B825" s="67"/>
      <c r="C825" s="67"/>
      <c r="D825" s="408"/>
      <c r="E825" s="410"/>
      <c r="F825" s="406"/>
      <c r="G825" s="407"/>
    </row>
    <row r="826" ht="14.25" customHeight="1">
      <c r="A826" s="412"/>
      <c r="B826" s="67"/>
      <c r="C826" s="67"/>
      <c r="D826" s="408"/>
      <c r="E826" s="410"/>
      <c r="F826" s="406"/>
      <c r="G826" s="407"/>
    </row>
    <row r="827" ht="14.25" customHeight="1">
      <c r="A827" s="412"/>
      <c r="B827" s="67"/>
      <c r="C827" s="67"/>
      <c r="D827" s="408"/>
      <c r="E827" s="410"/>
      <c r="F827" s="406"/>
      <c r="G827" s="407"/>
    </row>
    <row r="828" ht="14.25" customHeight="1">
      <c r="A828" s="412"/>
      <c r="B828" s="67"/>
      <c r="C828" s="67"/>
      <c r="D828" s="408"/>
      <c r="E828" s="410"/>
      <c r="F828" s="406"/>
      <c r="G828" s="407"/>
    </row>
    <row r="829" ht="14.25" customHeight="1">
      <c r="A829" s="412"/>
      <c r="B829" s="67"/>
      <c r="C829" s="67"/>
      <c r="D829" s="408"/>
      <c r="E829" s="410"/>
      <c r="F829" s="406"/>
      <c r="G829" s="407"/>
    </row>
    <row r="830" ht="14.25" customHeight="1">
      <c r="A830" s="412"/>
      <c r="B830" s="67"/>
      <c r="C830" s="67"/>
      <c r="D830" s="408"/>
      <c r="E830" s="410"/>
      <c r="F830" s="406"/>
      <c r="G830" s="407"/>
    </row>
    <row r="831" ht="14.25" customHeight="1">
      <c r="A831" s="412"/>
      <c r="B831" s="67"/>
      <c r="C831" s="67"/>
      <c r="D831" s="408"/>
      <c r="E831" s="410"/>
      <c r="F831" s="406"/>
      <c r="G831" s="407"/>
    </row>
    <row r="832" ht="14.25" customHeight="1">
      <c r="A832" s="412"/>
      <c r="B832" s="67"/>
      <c r="C832" s="67"/>
      <c r="D832" s="408"/>
      <c r="E832" s="410"/>
      <c r="F832" s="406"/>
      <c r="G832" s="407"/>
    </row>
    <row r="833" ht="14.25" customHeight="1">
      <c r="A833" s="412"/>
      <c r="B833" s="67"/>
      <c r="C833" s="67"/>
      <c r="D833" s="408"/>
      <c r="E833" s="410"/>
      <c r="F833" s="406"/>
      <c r="G833" s="407"/>
    </row>
    <row r="834" ht="14.25" customHeight="1">
      <c r="A834" s="412"/>
      <c r="B834" s="67"/>
      <c r="C834" s="67"/>
      <c r="D834" s="408"/>
      <c r="E834" s="410"/>
      <c r="F834" s="406"/>
      <c r="G834" s="40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ht="14.25" customHeight="1">
      <c r="A835" s="412"/>
      <c r="B835" s="67"/>
      <c r="C835" s="67"/>
      <c r="D835" s="408"/>
      <c r="E835" s="410"/>
      <c r="F835" s="406"/>
      <c r="G835" s="40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ht="14.25" customHeight="1">
      <c r="A836" s="412"/>
      <c r="B836" s="67"/>
      <c r="C836" s="67"/>
      <c r="D836" s="408"/>
      <c r="E836" s="410"/>
      <c r="F836" s="406"/>
      <c r="G836" s="407"/>
    </row>
    <row r="837" ht="14.25" customHeight="1">
      <c r="A837" s="412"/>
      <c r="B837" s="67"/>
      <c r="C837" s="67"/>
      <c r="D837" s="408"/>
      <c r="E837" s="410"/>
      <c r="F837" s="406"/>
      <c r="G837" s="407"/>
    </row>
    <row r="838" ht="14.25" customHeight="1">
      <c r="A838" s="412"/>
      <c r="B838" s="67"/>
      <c r="C838" s="67"/>
      <c r="D838" s="408"/>
      <c r="E838" s="410"/>
      <c r="F838" s="406"/>
      <c r="G838" s="407"/>
    </row>
    <row r="839" ht="14.25" customHeight="1">
      <c r="A839" s="412"/>
      <c r="B839" s="67"/>
      <c r="C839" s="67"/>
      <c r="D839" s="408"/>
      <c r="E839" s="410"/>
      <c r="F839" s="406"/>
      <c r="G839" s="407"/>
    </row>
    <row r="840" ht="14.25" customHeight="1">
      <c r="A840" s="412"/>
      <c r="B840" s="67"/>
      <c r="C840" s="67"/>
      <c r="D840" s="408"/>
      <c r="E840" s="410"/>
      <c r="F840" s="406"/>
      <c r="G840" s="407"/>
    </row>
    <row r="841" ht="14.25" customHeight="1">
      <c r="A841" s="412"/>
      <c r="B841" s="67"/>
      <c r="C841" s="67"/>
      <c r="D841" s="408"/>
      <c r="E841" s="410"/>
      <c r="F841" s="406"/>
      <c r="G841" s="407"/>
    </row>
    <row r="842" ht="14.25" customHeight="1">
      <c r="A842" s="412"/>
      <c r="B842" s="67"/>
      <c r="C842" s="67"/>
      <c r="D842" s="408"/>
      <c r="E842" s="410"/>
      <c r="F842" s="406"/>
      <c r="G842" s="407"/>
    </row>
    <row r="843" ht="14.25" customHeight="1">
      <c r="A843" s="412"/>
      <c r="B843" s="67"/>
      <c r="C843" s="67"/>
      <c r="D843" s="408"/>
      <c r="E843" s="410"/>
      <c r="F843" s="406"/>
      <c r="G843" s="407"/>
    </row>
    <row r="844" ht="14.25" customHeight="1">
      <c r="A844" s="412"/>
      <c r="B844" s="67"/>
      <c r="C844" s="67"/>
      <c r="D844" s="408"/>
      <c r="E844" s="410"/>
      <c r="F844" s="406"/>
      <c r="G844" s="407"/>
    </row>
    <row r="845" ht="14.25" customHeight="1">
      <c r="A845" s="412"/>
      <c r="B845" s="67"/>
      <c r="C845" s="67"/>
      <c r="D845" s="408"/>
      <c r="E845" s="410"/>
      <c r="F845" s="406"/>
      <c r="G845" s="407"/>
    </row>
    <row r="846" ht="14.25" customHeight="1">
      <c r="A846" s="412"/>
      <c r="B846" s="67"/>
      <c r="C846" s="67"/>
      <c r="D846" s="408"/>
      <c r="E846" s="410"/>
      <c r="F846" s="406"/>
      <c r="G846" s="407"/>
    </row>
    <row r="847" ht="14.25" customHeight="1">
      <c r="A847" s="412"/>
      <c r="B847" s="67"/>
      <c r="C847" s="67"/>
      <c r="D847" s="408"/>
      <c r="E847" s="410"/>
      <c r="F847" s="406"/>
      <c r="G847" s="407"/>
    </row>
    <row r="848" ht="14.25" customHeight="1">
      <c r="A848" s="412"/>
      <c r="B848" s="67"/>
      <c r="C848" s="67"/>
      <c r="D848" s="408"/>
      <c r="E848" s="410"/>
      <c r="F848" s="406"/>
      <c r="G848" s="407"/>
    </row>
    <row r="849" ht="14.25" customHeight="1">
      <c r="A849" s="412"/>
      <c r="E849" s="127"/>
      <c r="F849" s="406"/>
      <c r="G849" s="407"/>
    </row>
    <row r="850" ht="14.25" customHeight="1">
      <c r="A850" s="412"/>
      <c r="E850" s="127"/>
      <c r="F850" s="406"/>
      <c r="G850" s="407"/>
    </row>
    <row r="851" ht="14.25" customHeight="1">
      <c r="A851" s="412"/>
      <c r="B851" s="67"/>
      <c r="C851" s="67"/>
      <c r="D851" s="408"/>
      <c r="E851" s="410"/>
      <c r="F851" s="406"/>
      <c r="G851" s="40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ht="14.25" customHeight="1">
      <c r="A852" s="412"/>
      <c r="E852" s="127"/>
      <c r="F852" s="406"/>
      <c r="G852" s="407"/>
    </row>
    <row r="853" ht="14.25" customHeight="1">
      <c r="A853" s="412"/>
      <c r="E853" s="127"/>
      <c r="F853" s="406"/>
      <c r="G853" s="407"/>
    </row>
    <row r="854" ht="14.25" customHeight="1">
      <c r="A854" s="412"/>
      <c r="E854" s="127"/>
      <c r="F854" s="406"/>
      <c r="G854" s="407"/>
    </row>
    <row r="855" ht="14.25" customHeight="1">
      <c r="A855" s="412"/>
      <c r="E855" s="127"/>
      <c r="F855" s="406"/>
      <c r="G855" s="407"/>
    </row>
    <row r="856" ht="14.25" customHeight="1">
      <c r="A856" s="412"/>
      <c r="E856" s="127"/>
      <c r="F856" s="406"/>
      <c r="G856" s="407"/>
    </row>
    <row r="857" ht="14.25" customHeight="1">
      <c r="A857" s="412"/>
      <c r="E857" s="127"/>
      <c r="F857" s="406"/>
      <c r="G857" s="407"/>
    </row>
    <row r="858" ht="14.25" customHeight="1">
      <c r="A858" s="412"/>
      <c r="E858" s="127"/>
      <c r="F858" s="406"/>
      <c r="G858" s="407"/>
    </row>
    <row r="859" ht="14.25" customHeight="1">
      <c r="A859" s="412"/>
      <c r="B859" s="67"/>
      <c r="C859" s="67"/>
      <c r="D859" s="408"/>
      <c r="E859" s="410"/>
      <c r="F859" s="406"/>
      <c r="G859" s="40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ht="14.25" customHeight="1">
      <c r="A860" s="412"/>
      <c r="E860" s="127"/>
      <c r="F860" s="406"/>
      <c r="G860" s="407"/>
    </row>
    <row r="861" ht="14.25" customHeight="1">
      <c r="A861" s="412"/>
      <c r="E861" s="127"/>
      <c r="F861" s="406"/>
      <c r="G861" s="407"/>
    </row>
    <row r="862" ht="14.25" customHeight="1">
      <c r="A862" s="412"/>
      <c r="B862" s="67"/>
      <c r="C862" s="67"/>
      <c r="D862" s="408"/>
      <c r="E862" s="410"/>
      <c r="F862" s="406"/>
      <c r="G862" s="40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ht="14.25" customHeight="1">
      <c r="A863" s="412"/>
      <c r="B863" s="67"/>
      <c r="C863" s="67"/>
      <c r="D863" s="408"/>
      <c r="E863" s="410"/>
      <c r="F863" s="406"/>
      <c r="G863" s="40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ht="14.25" customHeight="1">
      <c r="A864" s="412"/>
      <c r="B864" s="67"/>
      <c r="C864" s="67"/>
      <c r="D864" s="408"/>
      <c r="E864" s="410"/>
      <c r="F864" s="406"/>
      <c r="G864" s="40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ht="14.25" customHeight="1">
      <c r="A865" s="412"/>
      <c r="B865" s="67"/>
      <c r="C865" s="67"/>
      <c r="D865" s="408"/>
      <c r="E865" s="410"/>
      <c r="F865" s="406"/>
      <c r="G865" s="40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ht="14.25" customHeight="1">
      <c r="A866" s="412"/>
      <c r="B866" s="67"/>
      <c r="C866" s="67"/>
      <c r="D866" s="408"/>
      <c r="E866" s="410"/>
      <c r="F866" s="406"/>
      <c r="G866" s="40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ht="14.25" customHeight="1">
      <c r="A867" s="412"/>
      <c r="B867" s="67"/>
      <c r="C867" s="67"/>
      <c r="D867" s="408"/>
      <c r="E867" s="410"/>
      <c r="F867" s="406"/>
      <c r="G867" s="40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ht="14.25" customHeight="1">
      <c r="A868" s="412"/>
      <c r="B868" s="67"/>
      <c r="C868" s="67"/>
      <c r="D868" s="408"/>
      <c r="E868" s="410"/>
      <c r="F868" s="406"/>
      <c r="G868" s="407"/>
    </row>
    <row r="869" ht="14.25" customHeight="1">
      <c r="A869" s="412"/>
      <c r="E869" s="127"/>
      <c r="F869" s="406"/>
      <c r="G869" s="407"/>
    </row>
    <row r="870" ht="14.25" customHeight="1">
      <c r="A870" s="412"/>
      <c r="E870" s="127"/>
      <c r="F870" s="406"/>
      <c r="G870" s="407"/>
    </row>
    <row r="871" ht="12.75" customHeight="1">
      <c r="E871" s="127"/>
    </row>
    <row r="872" ht="12.75" customHeight="1">
      <c r="E872" s="418"/>
    </row>
    <row r="873" ht="12.75" customHeight="1">
      <c r="E873" s="127"/>
    </row>
    <row r="874" ht="12.75" customHeight="1">
      <c r="E874" s="127"/>
    </row>
    <row r="875" ht="12.75" customHeight="1">
      <c r="E875" s="127"/>
    </row>
    <row r="876" ht="12.75" customHeight="1">
      <c r="E876" s="127"/>
    </row>
    <row r="877" ht="12.75" customHeight="1">
      <c r="E877" s="127"/>
    </row>
    <row r="878" ht="12.75" customHeight="1">
      <c r="E878" s="127"/>
    </row>
    <row r="879" ht="12.75" customHeight="1">
      <c r="E879" s="127"/>
    </row>
    <row r="880" ht="12.75" customHeight="1">
      <c r="E880" s="127"/>
    </row>
    <row r="881" ht="12.75" customHeight="1">
      <c r="E881" s="127"/>
    </row>
    <row r="882" ht="12.75" customHeight="1">
      <c r="E882" s="127"/>
    </row>
    <row r="883" ht="12.75" customHeight="1">
      <c r="E883" s="127"/>
    </row>
    <row r="884" ht="12.75" customHeight="1">
      <c r="E884" s="127"/>
    </row>
    <row r="885" ht="12.75" customHeight="1">
      <c r="E885" s="127"/>
    </row>
    <row r="886" ht="12.75" customHeight="1">
      <c r="E886" s="127"/>
    </row>
    <row r="887" ht="12.75" customHeight="1">
      <c r="E887" s="127"/>
    </row>
    <row r="888" ht="12.75" customHeight="1">
      <c r="E888" s="127"/>
    </row>
    <row r="889" ht="12.75" customHeight="1">
      <c r="E889" s="127"/>
    </row>
    <row r="890" ht="12.75" customHeight="1">
      <c r="E890" s="127"/>
    </row>
    <row r="891" ht="12.75" customHeight="1">
      <c r="E891" s="127"/>
    </row>
    <row r="892" ht="12.75" customHeight="1">
      <c r="E892" s="127"/>
    </row>
    <row r="893" ht="12.75" customHeight="1">
      <c r="E893" s="127"/>
    </row>
    <row r="894" ht="12.75" customHeight="1">
      <c r="E894" s="127"/>
    </row>
    <row r="895" ht="12.75" customHeight="1">
      <c r="E895" s="127"/>
    </row>
    <row r="896" ht="12.75" customHeight="1">
      <c r="E896" s="127"/>
    </row>
    <row r="897" ht="12.75" customHeight="1">
      <c r="E897" s="127"/>
    </row>
    <row r="898" ht="12.75" customHeight="1">
      <c r="E898" s="127"/>
    </row>
    <row r="899" ht="12.75" customHeight="1">
      <c r="E899" s="127"/>
    </row>
    <row r="900" ht="12.75" customHeight="1">
      <c r="E900" s="127"/>
    </row>
    <row r="901" ht="12.75" customHeight="1">
      <c r="E901" s="127"/>
    </row>
    <row r="902" ht="12.75" customHeight="1">
      <c r="E902" s="127"/>
    </row>
    <row r="903" ht="12.75" customHeight="1">
      <c r="E903" s="127"/>
    </row>
    <row r="904" ht="12.75" customHeight="1">
      <c r="E904" s="127"/>
    </row>
    <row r="905" ht="12.75" customHeight="1">
      <c r="E905" s="127"/>
    </row>
    <row r="906" ht="12.75" customHeight="1">
      <c r="E906" s="127"/>
    </row>
    <row r="907" ht="12.75" customHeight="1">
      <c r="E907" s="127"/>
    </row>
    <row r="908" ht="12.75" customHeight="1">
      <c r="E908" s="127"/>
    </row>
    <row r="909" ht="12.75" customHeight="1">
      <c r="E909" s="127"/>
    </row>
    <row r="910" ht="12.75" customHeight="1">
      <c r="E910" s="127"/>
    </row>
    <row r="911" ht="12.75" customHeight="1">
      <c r="E911" s="127"/>
    </row>
    <row r="912" ht="12.75" customHeight="1">
      <c r="E912" s="127"/>
    </row>
    <row r="913" ht="12.75" customHeight="1">
      <c r="E913" s="127"/>
    </row>
    <row r="914" ht="12.75" customHeight="1">
      <c r="E914" s="127"/>
    </row>
    <row r="915" ht="12.75" customHeight="1">
      <c r="E915" s="127"/>
    </row>
    <row r="916" ht="12.75" customHeight="1">
      <c r="E916" s="127"/>
    </row>
    <row r="917" ht="12.75" customHeight="1">
      <c r="E917" s="127"/>
    </row>
    <row r="918" ht="12.75" customHeight="1">
      <c r="E918" s="127"/>
    </row>
    <row r="919" ht="12.75" customHeight="1">
      <c r="E919" s="127"/>
    </row>
    <row r="920" ht="12.75" customHeight="1">
      <c r="E920" s="127"/>
    </row>
    <row r="921" ht="12.75" customHeight="1">
      <c r="E921" s="127"/>
    </row>
    <row r="922" ht="12.75" customHeight="1">
      <c r="E922" s="127"/>
    </row>
    <row r="923" ht="12.75" customHeight="1">
      <c r="E923" s="127"/>
    </row>
    <row r="924" ht="12.75" customHeight="1">
      <c r="E924" s="127"/>
    </row>
    <row r="925" ht="12.75" customHeight="1">
      <c r="E925" s="127"/>
    </row>
    <row r="926" ht="12.75" customHeight="1">
      <c r="E926" s="127"/>
    </row>
    <row r="927" ht="12.75" customHeight="1">
      <c r="E927" s="127"/>
    </row>
    <row r="928" ht="12.75" customHeight="1">
      <c r="E928" s="127"/>
    </row>
    <row r="929" ht="12.75" customHeight="1">
      <c r="E929" s="127"/>
    </row>
    <row r="930" ht="12.75" customHeight="1">
      <c r="E930" s="127"/>
    </row>
    <row r="931" ht="12.75" customHeight="1">
      <c r="E931" s="127"/>
    </row>
    <row r="932" ht="12.75" customHeight="1">
      <c r="E932" s="127"/>
    </row>
    <row r="933" ht="12.75" customHeight="1">
      <c r="E933" s="127"/>
    </row>
    <row r="934" ht="12.75" customHeight="1">
      <c r="E934" s="127"/>
    </row>
    <row r="935" ht="12.75" customHeight="1">
      <c r="E935" s="127"/>
    </row>
    <row r="936" ht="12.75" customHeight="1">
      <c r="E936" s="127"/>
    </row>
    <row r="937" ht="12.75" customHeight="1">
      <c r="E937" s="127"/>
    </row>
    <row r="938" ht="12.75" customHeight="1">
      <c r="E938" s="127"/>
    </row>
    <row r="939" ht="12.75" customHeight="1">
      <c r="E939" s="127"/>
    </row>
    <row r="940" ht="12.75" customHeight="1">
      <c r="E940" s="127"/>
    </row>
    <row r="941" ht="12.75" customHeight="1">
      <c r="E941" s="127"/>
    </row>
    <row r="942" ht="12.75" customHeight="1">
      <c r="E942" s="127"/>
    </row>
    <row r="943" ht="12.75" customHeight="1">
      <c r="E943" s="127"/>
    </row>
    <row r="944" ht="12.75" customHeight="1">
      <c r="E944" s="127"/>
    </row>
    <row r="945" ht="12.75" customHeight="1">
      <c r="E945" s="127"/>
    </row>
    <row r="946" ht="12.75" customHeight="1">
      <c r="E946" s="127"/>
    </row>
    <row r="947" ht="12.75" customHeight="1">
      <c r="E947" s="127"/>
    </row>
    <row r="948" ht="12.75" customHeight="1">
      <c r="E948" s="127"/>
    </row>
    <row r="949" ht="12.75" customHeight="1">
      <c r="E949" s="127"/>
    </row>
    <row r="950" ht="12.75" customHeight="1">
      <c r="E950" s="127"/>
    </row>
    <row r="951" ht="12.75" customHeight="1">
      <c r="E951" s="127"/>
    </row>
    <row r="952" ht="12.75" customHeight="1">
      <c r="E952" s="127"/>
    </row>
    <row r="953" ht="12.75" customHeight="1">
      <c r="E953" s="127"/>
    </row>
    <row r="954" ht="12.75" customHeight="1">
      <c r="E954" s="127"/>
    </row>
    <row r="955" ht="12.75" customHeight="1">
      <c r="E955" s="127"/>
    </row>
    <row r="956" ht="12.75" customHeight="1">
      <c r="E956" s="127"/>
    </row>
    <row r="957" ht="12.75" customHeight="1">
      <c r="E957" s="127"/>
    </row>
    <row r="958" ht="12.75" customHeight="1">
      <c r="E958" s="127"/>
    </row>
    <row r="959" ht="12.75" customHeight="1">
      <c r="E959" s="127"/>
    </row>
    <row r="960" ht="12.75" customHeight="1">
      <c r="E960" s="127"/>
    </row>
    <row r="961" ht="12.75" customHeight="1">
      <c r="E961" s="127"/>
    </row>
    <row r="962" ht="12.75" customHeight="1">
      <c r="E962" s="127"/>
    </row>
    <row r="963" ht="12.75" customHeight="1">
      <c r="E963" s="127"/>
    </row>
    <row r="964" ht="12.75" customHeight="1">
      <c r="E964" s="127"/>
    </row>
    <row r="965" ht="12.75" customHeight="1">
      <c r="E965" s="127"/>
    </row>
    <row r="966" ht="12.75" customHeight="1">
      <c r="E966" s="127"/>
    </row>
    <row r="967" ht="12.75" customHeight="1">
      <c r="E967" s="127"/>
    </row>
    <row r="968" ht="12.75" customHeight="1">
      <c r="E968" s="127"/>
    </row>
    <row r="969" ht="12.75" customHeight="1">
      <c r="E969" s="127"/>
    </row>
    <row r="970" ht="12.75" customHeight="1">
      <c r="E970" s="127"/>
    </row>
    <row r="971" ht="12.75" customHeight="1">
      <c r="E971" s="127"/>
    </row>
    <row r="972" ht="12.75" customHeight="1">
      <c r="E972" s="127"/>
    </row>
    <row r="973" ht="12.75" customHeight="1">
      <c r="E973" s="127"/>
    </row>
    <row r="974" ht="12.75" customHeight="1">
      <c r="E974" s="127"/>
    </row>
    <row r="975" ht="12.75" customHeight="1">
      <c r="E975" s="127"/>
    </row>
    <row r="976" ht="12.75" customHeight="1">
      <c r="E976" s="127"/>
    </row>
    <row r="977" ht="12.75" customHeight="1">
      <c r="E977" s="127"/>
    </row>
    <row r="978" ht="12.75" customHeight="1">
      <c r="E978" s="127"/>
    </row>
    <row r="979" ht="12.75" customHeight="1">
      <c r="E979" s="127"/>
    </row>
    <row r="980" ht="12.75" customHeight="1">
      <c r="E980" s="127"/>
    </row>
    <row r="981" ht="12.75" customHeight="1">
      <c r="E981" s="127"/>
    </row>
    <row r="982" ht="12.75" customHeight="1">
      <c r="E982" s="127"/>
    </row>
    <row r="983" ht="12.75" customHeight="1">
      <c r="E983" s="127"/>
    </row>
    <row r="984" ht="12.75" customHeight="1">
      <c r="E984" s="127"/>
    </row>
    <row r="985" ht="12.75" customHeight="1">
      <c r="E985" s="127"/>
    </row>
    <row r="986" ht="12.75" customHeight="1">
      <c r="E986" s="127"/>
    </row>
    <row r="987" ht="12.75" customHeight="1">
      <c r="E987" s="127"/>
    </row>
    <row r="988" ht="12.75" customHeight="1">
      <c r="E988" s="127"/>
    </row>
    <row r="989" ht="12.75" customHeight="1">
      <c r="E989" s="127"/>
    </row>
    <row r="990" ht="12.75" customHeight="1">
      <c r="E990" s="127"/>
    </row>
    <row r="991" ht="12.75" customHeight="1">
      <c r="E991" s="127"/>
    </row>
    <row r="992" ht="12.75" customHeight="1">
      <c r="E992" s="127"/>
    </row>
    <row r="993" ht="12.75" customHeight="1">
      <c r="E993" s="127"/>
    </row>
    <row r="994" ht="12.75" customHeight="1">
      <c r="E994" s="127"/>
    </row>
    <row r="995" ht="12.75" customHeight="1">
      <c r="E995" s="127"/>
    </row>
    <row r="996" ht="12.75" customHeight="1">
      <c r="E996" s="127"/>
    </row>
    <row r="997" ht="12.75" customHeight="1">
      <c r="E997" s="127"/>
    </row>
    <row r="998" ht="12.75" customHeight="1">
      <c r="E998" s="127"/>
    </row>
    <row r="999" ht="12.75" customHeight="1">
      <c r="E999" s="127"/>
    </row>
    <row r="1000" ht="12.75" customHeight="1">
      <c r="E1000" s="127"/>
    </row>
  </sheetData>
  <autoFilter ref="$A$1:$G$7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24.57"/>
    <col customWidth="1" min="3" max="3" width="29.71"/>
    <col customWidth="1" min="4" max="4" width="14.29"/>
    <col customWidth="1" min="5" max="5" width="20.0"/>
    <col customWidth="1" min="6" max="6" width="14.57"/>
    <col customWidth="1" min="7" max="7" width="16.0"/>
    <col customWidth="1" min="8" max="8" width="17.29"/>
    <col customWidth="1" min="9" max="17" width="9.14"/>
    <col customWidth="1" min="18" max="26" width="8.0"/>
  </cols>
  <sheetData>
    <row r="1" ht="18.75" customHeight="1">
      <c r="A1" s="168" t="s">
        <v>725</v>
      </c>
      <c r="B1" s="169"/>
      <c r="C1" s="169"/>
      <c r="D1" s="170"/>
      <c r="E1" s="171" t="s">
        <v>726</v>
      </c>
      <c r="F1" s="169"/>
      <c r="G1" s="172"/>
      <c r="H1" s="173"/>
      <c r="I1" s="174"/>
      <c r="J1" s="174"/>
      <c r="K1" s="174"/>
      <c r="L1" s="174"/>
      <c r="M1" s="174"/>
      <c r="N1" s="174"/>
      <c r="O1" s="174"/>
      <c r="P1" s="174"/>
      <c r="Q1" s="174"/>
      <c r="R1" s="175"/>
      <c r="S1" s="175"/>
      <c r="T1" s="175"/>
      <c r="U1" s="175"/>
      <c r="V1" s="175"/>
      <c r="W1" s="175"/>
      <c r="X1" s="175"/>
      <c r="Y1" s="175"/>
      <c r="Z1" s="175"/>
    </row>
    <row r="2" ht="15.75" customHeight="1">
      <c r="A2" s="176" t="s">
        <v>727</v>
      </c>
      <c r="B2" s="177" t="s">
        <v>728</v>
      </c>
      <c r="C2" s="176" t="s">
        <v>0</v>
      </c>
      <c r="D2" s="176" t="s">
        <v>729</v>
      </c>
      <c r="E2" s="177" t="s">
        <v>730</v>
      </c>
      <c r="F2" s="176" t="s">
        <v>731</v>
      </c>
      <c r="G2" s="176" t="s">
        <v>732</v>
      </c>
      <c r="H2" s="173"/>
      <c r="I2" s="174"/>
      <c r="J2" s="174"/>
      <c r="K2" s="174"/>
      <c r="L2" s="174"/>
      <c r="M2" s="174"/>
      <c r="N2" s="174"/>
      <c r="O2" s="174"/>
      <c r="P2" s="174"/>
      <c r="Q2" s="174"/>
      <c r="R2" s="178"/>
      <c r="S2" s="178"/>
      <c r="T2" s="178"/>
      <c r="U2" s="178"/>
      <c r="V2" s="178"/>
      <c r="W2" s="178"/>
      <c r="X2" s="178"/>
      <c r="Y2" s="178"/>
      <c r="Z2" s="178"/>
    </row>
    <row r="3" ht="25.5" customHeight="1">
      <c r="A3" s="179" t="s">
        <v>91</v>
      </c>
      <c r="B3" s="180">
        <v>0.0</v>
      </c>
      <c r="C3" s="179" t="s">
        <v>733</v>
      </c>
      <c r="D3" s="181"/>
      <c r="E3" s="182">
        <f>106936-14153-44100-44226+120874.5-37212-39480</f>
        <v>48639.5</v>
      </c>
      <c r="F3" s="183">
        <v>2017.0</v>
      </c>
      <c r="G3" s="184">
        <v>43300.0</v>
      </c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74"/>
      <c r="S3" s="174"/>
      <c r="T3" s="174"/>
      <c r="U3" s="174"/>
      <c r="V3" s="174"/>
      <c r="W3" s="174"/>
      <c r="X3" s="174"/>
      <c r="Y3" s="174"/>
      <c r="Z3" s="174"/>
    </row>
    <row r="4" ht="12.75" customHeight="1">
      <c r="A4" s="179" t="s">
        <v>91</v>
      </c>
      <c r="B4" s="180">
        <f>153468-83622.5</f>
        <v>69845.5</v>
      </c>
      <c r="C4" s="179" t="s">
        <v>734</v>
      </c>
      <c r="D4" s="181"/>
      <c r="E4" s="182">
        <v>83622.5</v>
      </c>
      <c r="F4" s="183">
        <v>2017.0</v>
      </c>
      <c r="G4" s="184">
        <v>43341.0</v>
      </c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74"/>
      <c r="S4" s="174"/>
      <c r="T4" s="174"/>
      <c r="U4" s="174"/>
      <c r="V4" s="174"/>
      <c r="W4" s="174"/>
      <c r="X4" s="174"/>
      <c r="Y4" s="174"/>
      <c r="Z4" s="174"/>
    </row>
    <row r="5" ht="25.5" customHeight="1">
      <c r="A5" s="179" t="s">
        <v>93</v>
      </c>
      <c r="B5" s="180">
        <f>459900</f>
        <v>459900</v>
      </c>
      <c r="C5" s="179" t="s">
        <v>733</v>
      </c>
      <c r="D5" s="187"/>
      <c r="E5" s="188">
        <f>342532.6-14091-19416.6-17123.4-18097.8-17845.8-17644.2-18937.8-18387.6-18379.2-17686.2-18211.2</f>
        <v>146711.8</v>
      </c>
      <c r="F5" s="189">
        <v>2015.0</v>
      </c>
      <c r="G5" s="190">
        <v>43441.0</v>
      </c>
      <c r="H5" s="173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</row>
    <row r="6" ht="12.75" customHeight="1">
      <c r="A6" s="179" t="s">
        <v>243</v>
      </c>
      <c r="B6" s="180">
        <f>146664-36670</f>
        <v>109994</v>
      </c>
      <c r="C6" s="179" t="s">
        <v>734</v>
      </c>
      <c r="D6" s="181"/>
      <c r="E6" s="182">
        <f>36670</f>
        <v>36670</v>
      </c>
      <c r="F6" s="183">
        <v>2017.0</v>
      </c>
      <c r="G6" s="184">
        <v>43341.0</v>
      </c>
      <c r="H6" s="185"/>
      <c r="I6" s="186"/>
      <c r="J6" s="186"/>
      <c r="K6" s="186"/>
      <c r="L6" s="186"/>
      <c r="M6" s="186"/>
      <c r="N6" s="186"/>
      <c r="O6" s="186"/>
      <c r="P6" s="186"/>
      <c r="Q6" s="186"/>
      <c r="R6" s="174"/>
      <c r="S6" s="174"/>
      <c r="T6" s="174"/>
      <c r="U6" s="174"/>
      <c r="V6" s="174"/>
      <c r="W6" s="174"/>
      <c r="X6" s="174"/>
      <c r="Y6" s="174"/>
      <c r="Z6" s="174"/>
    </row>
    <row r="7" ht="12.75" customHeight="1">
      <c r="A7" s="179" t="s">
        <v>739</v>
      </c>
      <c r="B7" s="180">
        <f>92032-23000</f>
        <v>69032</v>
      </c>
      <c r="C7" s="179" t="s">
        <v>741</v>
      </c>
      <c r="D7" s="181"/>
      <c r="E7" s="182">
        <f>23000</f>
        <v>23000</v>
      </c>
      <c r="F7" s="183">
        <v>2017.0</v>
      </c>
      <c r="G7" s="184">
        <v>43390.0</v>
      </c>
      <c r="H7" s="185"/>
      <c r="I7" s="186"/>
      <c r="J7" s="186"/>
      <c r="K7" s="186"/>
      <c r="L7" s="186"/>
      <c r="M7" s="186"/>
      <c r="N7" s="186"/>
      <c r="O7" s="186"/>
      <c r="P7" s="186"/>
      <c r="Q7" s="186"/>
      <c r="R7" s="174"/>
      <c r="S7" s="174"/>
      <c r="T7" s="174"/>
      <c r="U7" s="174"/>
      <c r="V7" s="174"/>
      <c r="W7" s="174"/>
      <c r="X7" s="174"/>
      <c r="Y7" s="174"/>
      <c r="Z7" s="174"/>
    </row>
    <row r="8" ht="25.5" customHeight="1">
      <c r="A8" s="179" t="s">
        <v>742</v>
      </c>
      <c r="B8" s="180">
        <v>738984.0</v>
      </c>
      <c r="C8" s="179" t="s">
        <v>743</v>
      </c>
      <c r="D8" s="181"/>
      <c r="E8" s="182" t="s">
        <v>744</v>
      </c>
      <c r="F8" s="183" t="s">
        <v>744</v>
      </c>
      <c r="G8" s="183" t="s">
        <v>745</v>
      </c>
      <c r="H8" s="185"/>
      <c r="I8" s="186"/>
      <c r="J8" s="186"/>
      <c r="K8" s="186"/>
      <c r="L8" s="186"/>
      <c r="M8" s="186"/>
      <c r="N8" s="186"/>
      <c r="O8" s="186"/>
      <c r="P8" s="186"/>
      <c r="Q8" s="186"/>
      <c r="R8" s="174"/>
      <c r="S8" s="174"/>
      <c r="T8" s="174"/>
      <c r="U8" s="174"/>
      <c r="V8" s="174"/>
      <c r="W8" s="174"/>
      <c r="X8" s="174"/>
      <c r="Y8" s="174"/>
      <c r="Z8" s="174"/>
    </row>
    <row r="9" ht="12.75" customHeight="1">
      <c r="A9" s="179" t="s">
        <v>746</v>
      </c>
      <c r="B9" s="180">
        <f>155736-38950</f>
        <v>116786</v>
      </c>
      <c r="C9" s="179" t="s">
        <v>734</v>
      </c>
      <c r="D9" s="181"/>
      <c r="E9" s="182">
        <f>38950-420</f>
        <v>38530</v>
      </c>
      <c r="F9" s="183">
        <v>2017.0</v>
      </c>
      <c r="G9" s="184">
        <v>43341.0</v>
      </c>
      <c r="H9" s="185"/>
      <c r="I9" s="186"/>
      <c r="J9" s="186"/>
      <c r="K9" s="186"/>
      <c r="L9" s="186"/>
      <c r="M9" s="186"/>
      <c r="N9" s="186"/>
      <c r="O9" s="186"/>
      <c r="P9" s="186"/>
      <c r="Q9" s="186"/>
      <c r="R9" s="174"/>
      <c r="S9" s="174"/>
      <c r="T9" s="174"/>
      <c r="U9" s="174"/>
      <c r="V9" s="174"/>
      <c r="W9" s="174"/>
      <c r="X9" s="174"/>
      <c r="Y9" s="174"/>
      <c r="Z9" s="174"/>
    </row>
    <row r="10" ht="25.5" customHeight="1">
      <c r="A10" s="179" t="s">
        <v>750</v>
      </c>
      <c r="B10" s="180">
        <v>831665.3</v>
      </c>
      <c r="C10" s="179" t="s">
        <v>743</v>
      </c>
      <c r="D10" s="181"/>
      <c r="E10" s="182">
        <f>210232.93-30574.62-53863-35409.89-41988.45</f>
        <v>48396.97</v>
      </c>
      <c r="F10" s="183">
        <v>2016.0</v>
      </c>
      <c r="G10" s="184">
        <v>43420.0</v>
      </c>
      <c r="H10" s="185"/>
      <c r="I10" s="186"/>
      <c r="J10" s="186"/>
      <c r="K10" s="186"/>
      <c r="L10" s="186"/>
      <c r="M10" s="186"/>
      <c r="N10" s="186"/>
      <c r="O10" s="186"/>
      <c r="P10" s="186"/>
      <c r="Q10" s="186"/>
      <c r="R10" s="174"/>
      <c r="S10" s="174"/>
      <c r="T10" s="174"/>
      <c r="U10" s="174"/>
      <c r="V10" s="174"/>
      <c r="W10" s="174"/>
      <c r="X10" s="174"/>
      <c r="Y10" s="174"/>
      <c r="Z10" s="174"/>
    </row>
    <row r="11" ht="12.75" customHeight="1">
      <c r="A11" s="179" t="s">
        <v>223</v>
      </c>
      <c r="B11" s="180">
        <f t="shared" ref="B11:B12" si="1">107456.25-57000</f>
        <v>50456.25</v>
      </c>
      <c r="C11" s="179" t="s">
        <v>755</v>
      </c>
      <c r="D11" s="181"/>
      <c r="E11" s="182">
        <f>55802.28-11030.44-14390.27-2820-10847.43+57000</f>
        <v>73714.14</v>
      </c>
      <c r="F11" s="183" t="s">
        <v>756</v>
      </c>
      <c r="G11" s="192">
        <v>43076.0</v>
      </c>
      <c r="H11" s="185"/>
      <c r="I11" s="186"/>
      <c r="J11" s="186"/>
      <c r="K11" s="186"/>
      <c r="L11" s="186"/>
      <c r="M11" s="186"/>
      <c r="N11" s="186"/>
      <c r="O11" s="186"/>
      <c r="P11" s="186"/>
      <c r="Q11" s="186"/>
      <c r="R11" s="174"/>
      <c r="S11" s="174"/>
      <c r="T11" s="174"/>
      <c r="U11" s="174"/>
      <c r="V11" s="174"/>
      <c r="W11" s="174"/>
      <c r="X11" s="174"/>
      <c r="Y11" s="174"/>
      <c r="Z11" s="174"/>
    </row>
    <row r="12" ht="12.75" customHeight="1">
      <c r="A12" s="179" t="s">
        <v>223</v>
      </c>
      <c r="B12" s="180">
        <f t="shared" si="1"/>
        <v>50456.25</v>
      </c>
      <c r="C12" s="179" t="s">
        <v>765</v>
      </c>
      <c r="D12" s="187"/>
      <c r="E12" s="182">
        <f>50000-4532-2535-9124.51-8042.91-21345.95+57000</f>
        <v>61419.63</v>
      </c>
      <c r="F12" s="183">
        <v>2017.0</v>
      </c>
      <c r="G12" s="184">
        <v>43455.0</v>
      </c>
      <c r="H12" s="173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</row>
    <row r="13" ht="12.75" customHeight="1">
      <c r="A13" s="179" t="s">
        <v>76</v>
      </c>
      <c r="B13" s="180">
        <f>267600/2</f>
        <v>133800</v>
      </c>
      <c r="C13" s="179" t="s">
        <v>767</v>
      </c>
      <c r="D13" s="187"/>
      <c r="E13" s="188">
        <f>133800-1037-4305</f>
        <v>128458</v>
      </c>
      <c r="F13" s="189" t="s">
        <v>768</v>
      </c>
      <c r="G13" s="193">
        <v>43076.0</v>
      </c>
      <c r="H13" s="173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</row>
    <row r="14" ht="12.75" customHeight="1">
      <c r="A14" s="179" t="s">
        <v>76</v>
      </c>
      <c r="B14" s="180">
        <f>90000</f>
        <v>90000</v>
      </c>
      <c r="C14" s="179" t="s">
        <v>769</v>
      </c>
      <c r="D14" s="187"/>
      <c r="E14" s="188">
        <f>133800-2624-5653-13718-14377-5645-8662-7413-8358-2196</f>
        <v>65154</v>
      </c>
      <c r="F14" s="189" t="s">
        <v>768</v>
      </c>
      <c r="G14" s="190">
        <v>43441.0</v>
      </c>
      <c r="H14" s="173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ht="12.75" customHeight="1">
      <c r="A15" s="179" t="s">
        <v>81</v>
      </c>
      <c r="B15" s="180">
        <f>57600</f>
        <v>57600</v>
      </c>
      <c r="C15" s="179" t="s">
        <v>772</v>
      </c>
      <c r="D15" s="181"/>
      <c r="E15" s="182">
        <f>111440-224-2064-1168</f>
        <v>107984</v>
      </c>
      <c r="F15" s="183" t="s">
        <v>768</v>
      </c>
      <c r="G15" s="184">
        <v>43441.0</v>
      </c>
      <c r="H15" s="185"/>
      <c r="I15" s="186"/>
      <c r="J15" s="186"/>
      <c r="K15" s="186"/>
      <c r="L15" s="186"/>
      <c r="M15" s="186"/>
      <c r="N15" s="186"/>
      <c r="O15" s="186"/>
      <c r="P15" s="186"/>
      <c r="Q15" s="186"/>
      <c r="R15" s="174"/>
      <c r="S15" s="174"/>
      <c r="T15" s="174"/>
      <c r="U15" s="174"/>
      <c r="V15" s="174"/>
      <c r="W15" s="174"/>
      <c r="X15" s="174"/>
      <c r="Y15" s="174"/>
      <c r="Z15" s="174"/>
    </row>
    <row r="16" ht="12.75" customHeight="1">
      <c r="A16" s="179" t="s">
        <v>81</v>
      </c>
      <c r="B16" s="180">
        <f>191040/2</f>
        <v>95520</v>
      </c>
      <c r="C16" s="179" t="s">
        <v>767</v>
      </c>
      <c r="D16" s="187"/>
      <c r="E16" s="188">
        <f>111440-248-2992</f>
        <v>108200</v>
      </c>
      <c r="F16" s="189" t="s">
        <v>768</v>
      </c>
      <c r="G16" s="193">
        <v>43076.0</v>
      </c>
      <c r="H16" s="173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ht="12.75" customHeight="1">
      <c r="A17" s="179" t="s">
        <v>230</v>
      </c>
      <c r="B17" s="180">
        <f>157040</f>
        <v>157040</v>
      </c>
      <c r="C17" s="179" t="s">
        <v>769</v>
      </c>
      <c r="D17" s="187"/>
      <c r="E17" s="196">
        <f>9440.5-7624-9424-8482-7304</f>
        <v>-23393.5</v>
      </c>
      <c r="F17" s="189">
        <v>2017.0</v>
      </c>
      <c r="G17" s="190">
        <v>43441.0</v>
      </c>
      <c r="H17" s="185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ht="12.75" customHeight="1">
      <c r="A18" s="179" t="s">
        <v>232</v>
      </c>
      <c r="B18" s="180">
        <f>504525-504525</f>
        <v>0</v>
      </c>
      <c r="C18" s="179" t="s">
        <v>776</v>
      </c>
      <c r="D18" s="187"/>
      <c r="E18" s="197">
        <f>504525</f>
        <v>504525</v>
      </c>
      <c r="F18" s="189">
        <v>2017.0</v>
      </c>
      <c r="G18" s="190">
        <v>43390.0</v>
      </c>
      <c r="H18" s="185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ht="25.5" customHeight="1">
      <c r="A19" s="179" t="s">
        <v>779</v>
      </c>
      <c r="B19" s="180">
        <f>(3297480/2)-150000-150000-630000-718740</f>
        <v>0</v>
      </c>
      <c r="C19" s="179" t="s">
        <v>781</v>
      </c>
      <c r="D19" s="181"/>
      <c r="E19" s="198">
        <f>150000+150000-18970.83-210120.74+630000-58358.03-136601.98-483156.03-342744.6+718740-398787.79-19115.88-3490-40533.8-160260.46-19115.88-17330</f>
        <v>-259846.02</v>
      </c>
      <c r="F19" s="183">
        <v>2017.0</v>
      </c>
      <c r="G19" s="192">
        <v>43080.0</v>
      </c>
      <c r="H19" s="185"/>
      <c r="I19" s="186"/>
      <c r="J19" s="186"/>
      <c r="K19" s="186"/>
      <c r="L19" s="186"/>
      <c r="M19" s="186"/>
      <c r="N19" s="186"/>
      <c r="O19" s="186"/>
      <c r="P19" s="186"/>
      <c r="Q19" s="186"/>
      <c r="R19" s="174"/>
      <c r="S19" s="174"/>
      <c r="T19" s="174"/>
      <c r="U19" s="174"/>
      <c r="V19" s="174"/>
      <c r="W19" s="174"/>
      <c r="X19" s="174"/>
      <c r="Y19" s="174"/>
      <c r="Z19" s="174"/>
    </row>
    <row r="20" ht="12.75" customHeight="1">
      <c r="A20" s="179" t="s">
        <v>779</v>
      </c>
      <c r="B20" s="180">
        <f>(3297480/2)-300000-800000-548740</f>
        <v>0</v>
      </c>
      <c r="C20" s="179" t="s">
        <v>767</v>
      </c>
      <c r="D20" s="181"/>
      <c r="E20" s="198">
        <f>1091888.29-501215.23-275225.99-151810.48-470475.85-381437.77+800000-342608.52+548740-36805.98-55428.94-60250.76-59404.36-59019.94-41767.56-46944.47</f>
        <v>-41767.56</v>
      </c>
      <c r="F20" s="189">
        <v>2017.0</v>
      </c>
      <c r="G20" s="192">
        <v>43076.0</v>
      </c>
      <c r="H20" s="185"/>
      <c r="I20" s="186"/>
      <c r="J20" s="186"/>
      <c r="K20" s="186"/>
      <c r="L20" s="186"/>
      <c r="M20" s="186"/>
      <c r="N20" s="186"/>
      <c r="O20" s="186"/>
      <c r="P20" s="186"/>
      <c r="Q20" s="186"/>
      <c r="R20" s="174"/>
      <c r="S20" s="174"/>
      <c r="T20" s="174"/>
      <c r="U20" s="174"/>
      <c r="V20" s="174"/>
      <c r="W20" s="174"/>
      <c r="X20" s="174"/>
      <c r="Y20" s="174"/>
      <c r="Z20" s="174"/>
    </row>
    <row r="21" ht="12.75" customHeight="1">
      <c r="A21" s="179" t="s">
        <v>786</v>
      </c>
      <c r="B21" s="180">
        <f>903528-230000-300000-240000</f>
        <v>133528</v>
      </c>
      <c r="C21" s="179" t="s">
        <v>787</v>
      </c>
      <c r="D21" s="181"/>
      <c r="E21" s="182">
        <f>147278.94-60638.39-90246.79+300000+240000-76807.8-88417.26-66175.37</f>
        <v>304993.33</v>
      </c>
      <c r="F21" s="183">
        <v>2017.0</v>
      </c>
      <c r="G21" s="192">
        <v>43076.0</v>
      </c>
      <c r="H21" s="185"/>
      <c r="I21" s="186"/>
      <c r="J21" s="186"/>
      <c r="K21" s="186"/>
      <c r="L21" s="186"/>
      <c r="M21" s="186"/>
      <c r="N21" s="186"/>
      <c r="O21" s="186"/>
      <c r="P21" s="186"/>
      <c r="Q21" s="186"/>
      <c r="R21" s="174"/>
      <c r="S21" s="174"/>
      <c r="T21" s="174"/>
      <c r="U21" s="174"/>
      <c r="V21" s="174"/>
      <c r="W21" s="174"/>
      <c r="X21" s="174"/>
      <c r="Y21" s="174"/>
      <c r="Z21" s="174"/>
    </row>
    <row r="22" ht="25.5" customHeight="1">
      <c r="A22" s="179" t="s">
        <v>786</v>
      </c>
      <c r="B22" s="180">
        <f>451764-133528</f>
        <v>318236</v>
      </c>
      <c r="C22" s="179" t="s">
        <v>788</v>
      </c>
      <c r="D22" s="181"/>
      <c r="E22" s="182">
        <f>133528</f>
        <v>133528</v>
      </c>
      <c r="F22" s="183">
        <v>2017.0</v>
      </c>
      <c r="G22" s="190">
        <v>43390.0</v>
      </c>
      <c r="H22" s="185"/>
      <c r="I22" s="186"/>
      <c r="J22" s="186"/>
      <c r="K22" s="186"/>
      <c r="L22" s="186"/>
      <c r="M22" s="186"/>
      <c r="N22" s="186"/>
      <c r="O22" s="186"/>
      <c r="P22" s="186"/>
      <c r="Q22" s="186"/>
      <c r="R22" s="174"/>
      <c r="S22" s="174"/>
      <c r="T22" s="174"/>
      <c r="U22" s="174"/>
      <c r="V22" s="174"/>
      <c r="W22" s="174"/>
      <c r="X22" s="174"/>
      <c r="Y22" s="174"/>
      <c r="Z22" s="174"/>
    </row>
    <row r="23" ht="12.75" customHeight="1">
      <c r="A23" s="179" t="s">
        <v>790</v>
      </c>
      <c r="B23" s="180">
        <v>0.0</v>
      </c>
      <c r="C23" s="179" t="s">
        <v>791</v>
      </c>
      <c r="D23" s="181"/>
      <c r="E23" s="198">
        <f>51464.88+105409.44-87328.54-69545.78-2007.17-10637.76-2007.17-15740.42</f>
        <v>-30392.52</v>
      </c>
      <c r="F23" s="183">
        <v>2017.0</v>
      </c>
      <c r="G23" s="192">
        <v>43076.0</v>
      </c>
      <c r="H23" s="185"/>
      <c r="I23" s="186"/>
      <c r="J23" s="186"/>
      <c r="K23" s="186"/>
      <c r="L23" s="186"/>
      <c r="M23" s="186"/>
      <c r="N23" s="186"/>
      <c r="O23" s="186"/>
      <c r="P23" s="186"/>
      <c r="Q23" s="186"/>
      <c r="R23" s="174"/>
      <c r="S23" s="174"/>
      <c r="T23" s="174"/>
      <c r="U23" s="174"/>
      <c r="V23" s="174"/>
      <c r="W23" s="174"/>
      <c r="X23" s="174"/>
      <c r="Y23" s="174"/>
      <c r="Z23" s="174"/>
    </row>
    <row r="24" ht="12.75" customHeight="1">
      <c r="A24" s="179" t="s">
        <v>234</v>
      </c>
      <c r="B24" s="180">
        <f>29120-5000-12000</f>
        <v>12120</v>
      </c>
      <c r="C24" s="179" t="s">
        <v>755</v>
      </c>
      <c r="D24" s="181"/>
      <c r="E24" s="182">
        <f>4350.72-244+12000-166-814.01</f>
        <v>15126.71</v>
      </c>
      <c r="F24" s="183">
        <v>2017.0</v>
      </c>
      <c r="G24" s="192">
        <v>43076.0</v>
      </c>
      <c r="H24" s="185"/>
      <c r="I24" s="186"/>
      <c r="J24" s="186"/>
      <c r="K24" s="186"/>
      <c r="L24" s="186"/>
      <c r="M24" s="186"/>
      <c r="N24" s="186"/>
      <c r="O24" s="186"/>
      <c r="P24" s="186"/>
      <c r="Q24" s="186"/>
      <c r="R24" s="174"/>
      <c r="S24" s="174"/>
      <c r="T24" s="174"/>
      <c r="U24" s="174"/>
      <c r="V24" s="174"/>
      <c r="W24" s="174"/>
      <c r="X24" s="174"/>
      <c r="Y24" s="174"/>
      <c r="Z24" s="174"/>
    </row>
    <row r="25" ht="12.75" customHeight="1">
      <c r="A25" s="179" t="s">
        <v>332</v>
      </c>
      <c r="B25" s="180">
        <f>45990-20000-20000-4902.81</f>
        <v>1087.19</v>
      </c>
      <c r="C25" s="179" t="s">
        <v>755</v>
      </c>
      <c r="D25" s="181"/>
      <c r="E25" s="182">
        <f>1816.72-6067.27+4902.81+24010-1763.71</f>
        <v>22898.55</v>
      </c>
      <c r="F25" s="183">
        <v>2017.0</v>
      </c>
      <c r="G25" s="192">
        <v>43076.0</v>
      </c>
      <c r="H25" s="185"/>
      <c r="I25" s="186"/>
      <c r="J25" s="186"/>
      <c r="K25" s="186"/>
      <c r="L25" s="186"/>
      <c r="M25" s="186"/>
      <c r="N25" s="186"/>
      <c r="O25" s="186"/>
      <c r="P25" s="186"/>
      <c r="Q25" s="186"/>
      <c r="R25" s="174"/>
      <c r="S25" s="174"/>
      <c r="T25" s="174"/>
      <c r="U25" s="174"/>
      <c r="V25" s="174"/>
      <c r="W25" s="174"/>
      <c r="X25" s="174"/>
      <c r="Y25" s="174"/>
      <c r="Z25" s="174"/>
    </row>
    <row r="26" ht="25.5" customHeight="1">
      <c r="A26" s="179" t="s">
        <v>792</v>
      </c>
      <c r="B26" s="180">
        <v>0.0</v>
      </c>
      <c r="C26" s="179" t="s">
        <v>788</v>
      </c>
      <c r="D26" s="181"/>
      <c r="E26" s="182">
        <f>140333.29-75719.62-33889.89-42001.71-30579.91+145280+134000-22847.82-27291.49-78810.07-67116.45+141228-64415.37-51328.14</f>
        <v>66840.82</v>
      </c>
      <c r="F26" s="183">
        <v>2017.0</v>
      </c>
      <c r="G26" s="192">
        <v>43076.0</v>
      </c>
      <c r="H26" s="185"/>
      <c r="I26" s="186"/>
      <c r="J26" s="186"/>
      <c r="K26" s="186"/>
      <c r="L26" s="186"/>
      <c r="M26" s="186"/>
      <c r="N26" s="186"/>
      <c r="O26" s="186"/>
      <c r="P26" s="186"/>
      <c r="Q26" s="186"/>
      <c r="R26" s="174"/>
      <c r="S26" s="174"/>
      <c r="T26" s="174"/>
      <c r="U26" s="174"/>
      <c r="V26" s="174"/>
      <c r="W26" s="174"/>
      <c r="X26" s="174"/>
      <c r="Y26" s="174"/>
      <c r="Z26" s="174"/>
    </row>
    <row r="27" ht="12.75" customHeight="1">
      <c r="A27" s="200" t="s">
        <v>450</v>
      </c>
      <c r="B27" s="180">
        <f>103680-10000-27000</f>
        <v>66680</v>
      </c>
      <c r="C27" s="179" t="s">
        <v>805</v>
      </c>
      <c r="D27" s="187"/>
      <c r="E27" s="188">
        <f>20057.31-6749.5+27000-3334.62-5524.74-4662.32</f>
        <v>26786.13</v>
      </c>
      <c r="F27" s="189" t="s">
        <v>808</v>
      </c>
      <c r="G27" s="193">
        <v>43076.0</v>
      </c>
      <c r="H27" s="173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</row>
    <row r="28" ht="12.75" customHeight="1">
      <c r="A28" s="200" t="s">
        <v>809</v>
      </c>
      <c r="B28" s="180">
        <f>67440-7500</f>
        <v>59940</v>
      </c>
      <c r="C28" s="179" t="s">
        <v>810</v>
      </c>
      <c r="D28" s="181"/>
      <c r="E28" s="14">
        <f>21316.31-1128.34-845.25-1407.41-3385.02-1409.42-2820.85-1973.59-1150.42-3097.91-3945.17+7500-843.24-1690.5</f>
        <v>5119.19</v>
      </c>
      <c r="F28" s="183">
        <v>2017.0</v>
      </c>
      <c r="G28" s="192">
        <v>43076.0</v>
      </c>
      <c r="H28" s="185"/>
      <c r="I28" s="186"/>
      <c r="J28" s="186"/>
      <c r="K28" s="186"/>
      <c r="L28" s="186"/>
      <c r="M28" s="186"/>
      <c r="N28" s="186"/>
      <c r="O28" s="186"/>
      <c r="P28" s="186"/>
      <c r="Q28" s="186"/>
      <c r="R28" s="174"/>
      <c r="S28" s="174"/>
      <c r="T28" s="174"/>
      <c r="U28" s="174"/>
      <c r="V28" s="174"/>
      <c r="W28" s="174"/>
      <c r="X28" s="174"/>
      <c r="Y28" s="174"/>
      <c r="Z28" s="174"/>
    </row>
    <row r="29" ht="25.5" customHeight="1">
      <c r="A29" s="200" t="s">
        <v>28</v>
      </c>
      <c r="B29" s="180">
        <f>66285.66</f>
        <v>66285.66</v>
      </c>
      <c r="C29" s="179" t="s">
        <v>816</v>
      </c>
      <c r="D29" s="201"/>
      <c r="E29" s="198">
        <f>44676-11275.69-21436.76-9431.75-6940.36</f>
        <v>-4408.56</v>
      </c>
      <c r="F29" s="202" t="s">
        <v>820</v>
      </c>
      <c r="G29" s="203">
        <v>43359.0</v>
      </c>
      <c r="H29" s="185"/>
      <c r="I29" s="204"/>
      <c r="J29" s="204"/>
      <c r="K29" s="204"/>
      <c r="L29" s="204"/>
      <c r="M29" s="204"/>
      <c r="N29" s="204"/>
      <c r="O29" s="204"/>
      <c r="P29" s="204"/>
      <c r="Q29" s="204"/>
      <c r="R29" s="175"/>
      <c r="S29" s="175"/>
      <c r="T29" s="175"/>
      <c r="U29" s="175"/>
      <c r="V29" s="175"/>
      <c r="W29" s="175"/>
      <c r="X29" s="175"/>
      <c r="Y29" s="175"/>
      <c r="Z29" s="175"/>
    </row>
    <row r="30" ht="25.5" customHeight="1">
      <c r="A30" s="200" t="s">
        <v>28</v>
      </c>
      <c r="B30" s="180">
        <f>198857/3</f>
        <v>66285.66667</v>
      </c>
      <c r="C30" s="179" t="s">
        <v>823</v>
      </c>
      <c r="D30" s="181"/>
      <c r="E30" s="198">
        <f>0-5891.48-10900.84</f>
        <v>-16792.32</v>
      </c>
      <c r="F30" s="183">
        <v>2015.0</v>
      </c>
      <c r="G30" s="192">
        <v>43076.0</v>
      </c>
      <c r="H30" s="185"/>
      <c r="I30" s="186"/>
      <c r="J30" s="186"/>
      <c r="K30" s="186"/>
      <c r="L30" s="186"/>
      <c r="M30" s="186"/>
      <c r="N30" s="186"/>
      <c r="O30" s="186"/>
      <c r="P30" s="186"/>
      <c r="Q30" s="186"/>
      <c r="R30" s="175"/>
      <c r="S30" s="175"/>
      <c r="T30" s="175"/>
      <c r="U30" s="175"/>
      <c r="V30" s="175"/>
      <c r="W30" s="175"/>
      <c r="X30" s="175"/>
      <c r="Y30" s="175"/>
      <c r="Z30" s="175"/>
    </row>
    <row r="31" ht="25.5" customHeight="1">
      <c r="A31" s="200" t="s">
        <v>28</v>
      </c>
      <c r="B31" s="180">
        <f>66285.67</f>
        <v>66285.67</v>
      </c>
      <c r="C31" s="179" t="s">
        <v>824</v>
      </c>
      <c r="D31" s="181"/>
      <c r="E31" s="182">
        <f>78.73+51750-3620.11-3311.89</f>
        <v>44896.73</v>
      </c>
      <c r="F31" s="183" t="s">
        <v>808</v>
      </c>
      <c r="G31" s="184">
        <v>43441.0</v>
      </c>
      <c r="H31" s="185"/>
      <c r="I31" s="186"/>
      <c r="J31" s="186"/>
      <c r="K31" s="186"/>
      <c r="L31" s="186"/>
      <c r="M31" s="186"/>
      <c r="N31" s="186"/>
      <c r="O31" s="186"/>
      <c r="P31" s="186"/>
      <c r="Q31" s="186"/>
      <c r="R31" s="174"/>
      <c r="S31" s="174"/>
      <c r="T31" s="174"/>
      <c r="U31" s="174"/>
      <c r="V31" s="174"/>
      <c r="W31" s="174"/>
      <c r="X31" s="174"/>
      <c r="Y31" s="174"/>
      <c r="Z31" s="174"/>
    </row>
    <row r="32" ht="12.75" customHeight="1">
      <c r="A32" s="179" t="s">
        <v>116</v>
      </c>
      <c r="B32" s="180">
        <f t="shared" ref="B32:B33" si="2">1337767.5/2-100000-300000-268883.75</f>
        <v>0</v>
      </c>
      <c r="C32" s="179" t="s">
        <v>827</v>
      </c>
      <c r="D32" s="181"/>
      <c r="E32" s="182">
        <f>324572.99-73516.88+268883.75-69599.74-76716.52-50363.17</f>
        <v>323260.43</v>
      </c>
      <c r="F32" s="183">
        <v>2017.0</v>
      </c>
      <c r="G32" s="192">
        <v>43076.0</v>
      </c>
      <c r="H32" s="185"/>
      <c r="I32" s="186"/>
      <c r="J32" s="186"/>
      <c r="K32" s="186"/>
      <c r="L32" s="186"/>
      <c r="M32" s="186"/>
      <c r="N32" s="186"/>
      <c r="O32" s="186"/>
      <c r="P32" s="186"/>
      <c r="Q32" s="186"/>
      <c r="R32" s="174"/>
      <c r="S32" s="174"/>
      <c r="T32" s="174"/>
      <c r="U32" s="174"/>
      <c r="V32" s="174"/>
      <c r="W32" s="174"/>
      <c r="X32" s="174"/>
      <c r="Y32" s="174"/>
      <c r="Z32" s="174"/>
    </row>
    <row r="33" ht="25.5" customHeight="1">
      <c r="A33" s="179" t="s">
        <v>116</v>
      </c>
      <c r="B33" s="180">
        <f t="shared" si="2"/>
        <v>0</v>
      </c>
      <c r="C33" s="205" t="s">
        <v>831</v>
      </c>
      <c r="D33" s="181"/>
      <c r="E33" s="206">
        <v>268883.75</v>
      </c>
      <c r="F33" s="183">
        <v>2017.0</v>
      </c>
      <c r="G33" s="207">
        <v>43300.0</v>
      </c>
      <c r="H33" s="173"/>
      <c r="I33" s="186"/>
      <c r="J33" s="186"/>
      <c r="K33" s="186"/>
      <c r="L33" s="186"/>
      <c r="M33" s="186"/>
      <c r="N33" s="186"/>
      <c r="O33" s="186"/>
      <c r="P33" s="186"/>
      <c r="Q33" s="186"/>
      <c r="R33" s="174"/>
      <c r="S33" s="174"/>
      <c r="T33" s="174"/>
      <c r="U33" s="174"/>
      <c r="V33" s="174"/>
      <c r="W33" s="174"/>
      <c r="X33" s="174"/>
      <c r="Y33" s="174"/>
      <c r="Z33" s="174"/>
    </row>
    <row r="34" ht="25.5" customHeight="1">
      <c r="A34" s="179" t="s">
        <v>139</v>
      </c>
      <c r="B34" s="180">
        <f>45000-45000</f>
        <v>0</v>
      </c>
      <c r="C34" s="179" t="s">
        <v>834</v>
      </c>
      <c r="D34" s="181"/>
      <c r="E34" s="182">
        <f>-3664.57-15343.59-5915.64-17579.41-17964.96-12360.8+94552.67</f>
        <v>21723.7</v>
      </c>
      <c r="F34" s="183">
        <v>2017.0</v>
      </c>
      <c r="G34" s="192">
        <v>43076.0</v>
      </c>
      <c r="H34" s="173"/>
      <c r="I34" s="186"/>
      <c r="J34" s="186"/>
      <c r="K34" s="186"/>
      <c r="L34" s="186"/>
      <c r="M34" s="186"/>
      <c r="N34" s="186"/>
      <c r="O34" s="186"/>
      <c r="P34" s="186"/>
      <c r="Q34" s="186"/>
      <c r="R34" s="174"/>
      <c r="S34" s="174"/>
      <c r="T34" s="174"/>
      <c r="U34" s="174"/>
      <c r="V34" s="174"/>
      <c r="W34" s="174"/>
      <c r="X34" s="174"/>
      <c r="Y34" s="174"/>
      <c r="Z34" s="174"/>
    </row>
    <row r="35" ht="12.75" customHeight="1">
      <c r="A35" s="179" t="s">
        <v>122</v>
      </c>
      <c r="B35" s="180">
        <f>1431997.2</f>
        <v>1431997.2</v>
      </c>
      <c r="C35" s="179" t="s">
        <v>120</v>
      </c>
      <c r="D35" s="181"/>
      <c r="E35" s="182">
        <f>21709.62+200000-79200-22800-90000-99600-74400+180000+100000-72000+185000-76800-76800-79200+373000-80400-76800-78000</f>
        <v>153709.62</v>
      </c>
      <c r="F35" s="183">
        <v>2017.0</v>
      </c>
      <c r="G35" s="184">
        <v>43441.0</v>
      </c>
      <c r="H35" s="185"/>
      <c r="I35" s="186"/>
      <c r="J35" s="186"/>
      <c r="K35" s="186"/>
      <c r="L35" s="186"/>
      <c r="M35" s="186"/>
      <c r="N35" s="186"/>
      <c r="O35" s="186"/>
      <c r="P35" s="186"/>
      <c r="Q35" s="186"/>
      <c r="R35" s="174"/>
      <c r="S35" s="174"/>
      <c r="T35" s="174"/>
      <c r="U35" s="174"/>
      <c r="V35" s="174"/>
      <c r="W35" s="174"/>
      <c r="X35" s="174"/>
      <c r="Y35" s="174"/>
      <c r="Z35" s="174"/>
    </row>
    <row r="36" ht="12.75" customHeight="1">
      <c r="A36" s="179" t="s">
        <v>240</v>
      </c>
      <c r="B36" s="180">
        <f>(1927200/2)-50000-241500-160000</f>
        <v>512100</v>
      </c>
      <c r="C36" s="179" t="s">
        <v>840</v>
      </c>
      <c r="D36" s="181"/>
      <c r="E36" s="208">
        <f>265000-62769.6-4800-81077.4-73231.2-81077.4+50000+241500+160000-78353.03-81022.92-78462-81077.4-78462-81077.4</f>
        <v>-64910.35</v>
      </c>
      <c r="F36" s="183">
        <v>2017.0</v>
      </c>
      <c r="G36" s="192">
        <v>43076.0</v>
      </c>
      <c r="H36" s="185"/>
      <c r="I36" s="186"/>
      <c r="J36" s="186"/>
      <c r="K36" s="186"/>
      <c r="L36" s="186"/>
      <c r="M36" s="186"/>
      <c r="N36" s="186"/>
      <c r="O36" s="186"/>
      <c r="P36" s="186"/>
      <c r="Q36" s="186"/>
      <c r="R36" s="174"/>
      <c r="S36" s="174"/>
      <c r="T36" s="174"/>
      <c r="U36" s="174"/>
      <c r="V36" s="174"/>
      <c r="W36" s="174"/>
      <c r="X36" s="174"/>
      <c r="Y36" s="174"/>
      <c r="Z36" s="174"/>
    </row>
    <row r="37" ht="12.75" customHeight="1">
      <c r="A37" s="179" t="s">
        <v>240</v>
      </c>
      <c r="B37" s="180">
        <f>(1927200/2)-50000-240000-160000-302000</f>
        <v>211600</v>
      </c>
      <c r="C37" s="179" t="s">
        <v>847</v>
      </c>
      <c r="D37" s="181"/>
      <c r="E37" s="182">
        <f>233872-69400-8400-74400-67200+50000+240000-74400+160000-73870.16-2400+53928-79025.13-76527.36-79078.27+302000-79078.27-76527.36-79078.27</f>
        <v>200415.18</v>
      </c>
      <c r="F37" s="183">
        <v>2017.0</v>
      </c>
      <c r="G37" s="209">
        <v>43190.0</v>
      </c>
      <c r="H37" s="185"/>
      <c r="I37" s="186"/>
      <c r="J37" s="186"/>
      <c r="K37" s="186"/>
      <c r="L37" s="186"/>
      <c r="M37" s="186"/>
      <c r="N37" s="186"/>
      <c r="O37" s="186"/>
      <c r="P37" s="186"/>
      <c r="Q37" s="186"/>
      <c r="R37" s="174"/>
      <c r="S37" s="174"/>
      <c r="T37" s="174"/>
      <c r="U37" s="174"/>
      <c r="V37" s="174"/>
      <c r="W37" s="174"/>
      <c r="X37" s="174"/>
      <c r="Y37" s="174"/>
      <c r="Z37" s="174"/>
    </row>
    <row r="38" ht="25.5" customHeight="1">
      <c r="A38" s="179" t="s">
        <v>853</v>
      </c>
      <c r="B38" s="180">
        <f>963600-300000</f>
        <v>663600</v>
      </c>
      <c r="C38" s="179" t="s">
        <v>733</v>
      </c>
      <c r="D38" s="181"/>
      <c r="E38" s="182">
        <f>387560.55-81378.72-81378.72-78753.6-81378.72</f>
        <v>64670.79</v>
      </c>
      <c r="F38" s="183">
        <v>2017.0</v>
      </c>
      <c r="G38" s="184">
        <v>43300.0</v>
      </c>
      <c r="H38" s="185"/>
      <c r="I38" s="186"/>
      <c r="J38" s="186"/>
      <c r="K38" s="186"/>
      <c r="L38" s="186"/>
      <c r="M38" s="186"/>
      <c r="N38" s="186"/>
      <c r="O38" s="186"/>
      <c r="P38" s="186"/>
      <c r="Q38" s="186"/>
      <c r="R38" s="174"/>
      <c r="S38" s="174"/>
      <c r="T38" s="174"/>
      <c r="U38" s="174"/>
      <c r="V38" s="174"/>
      <c r="W38" s="174"/>
      <c r="X38" s="174"/>
      <c r="Y38" s="174"/>
      <c r="Z38" s="174"/>
    </row>
    <row r="39" ht="12.75" customHeight="1">
      <c r="A39" s="179" t="s">
        <v>203</v>
      </c>
      <c r="B39" s="180">
        <f t="shared" ref="B39:B40" si="3">415035</f>
        <v>415035</v>
      </c>
      <c r="C39" s="179" t="s">
        <v>854</v>
      </c>
      <c r="D39" s="181"/>
      <c r="E39" s="182">
        <f>190559.29-62880.68-28533.75+20000-68462.25+100000-138368.8</f>
        <v>12313.81</v>
      </c>
      <c r="F39" s="183">
        <v>2017.0</v>
      </c>
      <c r="G39" s="184">
        <v>43441.0</v>
      </c>
      <c r="H39" s="185"/>
      <c r="I39" s="186"/>
      <c r="J39" s="186"/>
      <c r="K39" s="186"/>
      <c r="L39" s="186"/>
      <c r="M39" s="186"/>
      <c r="N39" s="186"/>
      <c r="O39" s="186"/>
      <c r="P39" s="186"/>
      <c r="Q39" s="186"/>
      <c r="R39" s="174"/>
      <c r="S39" s="174"/>
      <c r="T39" s="174"/>
      <c r="U39" s="174"/>
      <c r="V39" s="174"/>
      <c r="W39" s="174"/>
      <c r="X39" s="174"/>
      <c r="Y39" s="174"/>
      <c r="Z39" s="174"/>
    </row>
    <row r="40" ht="12.75" customHeight="1">
      <c r="A40" s="214" t="s">
        <v>203</v>
      </c>
      <c r="B40" s="180">
        <f t="shared" si="3"/>
        <v>415035</v>
      </c>
      <c r="C40" s="214" t="s">
        <v>857</v>
      </c>
      <c r="D40" s="216"/>
      <c r="E40" s="14">
        <f>99275.33-54405.7-49487.65+20000-11868.05+100000</f>
        <v>103513.93</v>
      </c>
      <c r="F40" s="220">
        <v>2017.0</v>
      </c>
      <c r="G40" s="184">
        <v>43441.0</v>
      </c>
      <c r="H40" s="185"/>
      <c r="I40" s="186"/>
      <c r="J40" s="186"/>
      <c r="K40" s="186"/>
      <c r="L40" s="186"/>
      <c r="M40" s="186"/>
      <c r="N40" s="186"/>
      <c r="O40" s="186"/>
      <c r="P40" s="186"/>
      <c r="Q40" s="186"/>
      <c r="R40" s="174"/>
      <c r="S40" s="174"/>
      <c r="T40" s="174"/>
      <c r="U40" s="174"/>
      <c r="V40" s="174"/>
      <c r="W40" s="174"/>
      <c r="X40" s="174"/>
      <c r="Y40" s="174"/>
      <c r="Z40" s="174"/>
    </row>
    <row r="41" ht="15.75" customHeight="1">
      <c r="A41" s="221" t="s">
        <v>858</v>
      </c>
      <c r="B41" s="177" t="s">
        <v>859</v>
      </c>
      <c r="C41" s="176" t="s">
        <v>0</v>
      </c>
      <c r="D41" s="176" t="s">
        <v>729</v>
      </c>
      <c r="E41" s="177" t="s">
        <v>730</v>
      </c>
      <c r="F41" s="176" t="s">
        <v>731</v>
      </c>
      <c r="G41" s="176" t="s">
        <v>732</v>
      </c>
      <c r="H41" s="185"/>
      <c r="I41" s="186"/>
      <c r="J41" s="186"/>
      <c r="K41" s="186"/>
      <c r="L41" s="186"/>
      <c r="M41" s="186"/>
      <c r="N41" s="186"/>
      <c r="O41" s="186"/>
      <c r="P41" s="186"/>
      <c r="Q41" s="186"/>
      <c r="R41" s="178"/>
      <c r="S41" s="178"/>
      <c r="T41" s="178"/>
      <c r="U41" s="178"/>
      <c r="V41" s="178"/>
      <c r="W41" s="178"/>
      <c r="X41" s="178"/>
      <c r="Y41" s="178"/>
      <c r="Z41" s="178"/>
    </row>
    <row r="42" ht="25.5" customHeight="1">
      <c r="A42" s="179" t="s">
        <v>91</v>
      </c>
      <c r="B42" s="180">
        <f>(2088038/2)-100000-130000-579019</f>
        <v>235000</v>
      </c>
      <c r="C42" s="179" t="s">
        <v>743</v>
      </c>
      <c r="D42" s="181"/>
      <c r="E42" s="208">
        <f>500100.26-88069.81-328177.38-83853.07-91411.95-20967.94</f>
        <v>-112379.89</v>
      </c>
      <c r="F42" s="183">
        <v>2017.0</v>
      </c>
      <c r="G42" s="192">
        <v>43076.0</v>
      </c>
      <c r="H42" s="185"/>
      <c r="I42" s="186"/>
      <c r="J42" s="186"/>
      <c r="K42" s="186"/>
      <c r="L42" s="186"/>
      <c r="M42" s="186"/>
      <c r="N42" s="186"/>
      <c r="O42" s="186"/>
      <c r="P42" s="186"/>
      <c r="Q42" s="186"/>
      <c r="R42" s="174"/>
      <c r="S42" s="174"/>
      <c r="T42" s="174"/>
      <c r="U42" s="174"/>
      <c r="V42" s="174"/>
      <c r="W42" s="174"/>
      <c r="X42" s="174"/>
      <c r="Y42" s="174"/>
      <c r="Z42" s="174"/>
    </row>
    <row r="43" ht="12.75" customHeight="1">
      <c r="A43" s="179" t="s">
        <v>91</v>
      </c>
      <c r="B43" s="180">
        <f>(2088038/2)-235000-100000-130000-579019</f>
        <v>0</v>
      </c>
      <c r="C43" s="179" t="s">
        <v>787</v>
      </c>
      <c r="D43" s="181"/>
      <c r="E43" s="182">
        <f>562301.74-128388.8-203622.52-72813.8-52790.45</f>
        <v>104686.17</v>
      </c>
      <c r="F43" s="183" t="s">
        <v>865</v>
      </c>
      <c r="G43" s="192">
        <v>43076.0</v>
      </c>
      <c r="H43" s="185"/>
      <c r="I43" s="186"/>
      <c r="J43" s="186"/>
      <c r="K43" s="186"/>
      <c r="L43" s="186"/>
      <c r="M43" s="186"/>
      <c r="N43" s="186"/>
      <c r="O43" s="186"/>
      <c r="P43" s="186"/>
      <c r="Q43" s="186"/>
      <c r="R43" s="174"/>
      <c r="S43" s="174"/>
      <c r="T43" s="174"/>
      <c r="U43" s="174"/>
      <c r="V43" s="174"/>
      <c r="W43" s="174"/>
      <c r="X43" s="174"/>
      <c r="Y43" s="174"/>
      <c r="Z43" s="174"/>
    </row>
    <row r="44" ht="25.5" customHeight="1">
      <c r="A44" s="214" t="s">
        <v>196</v>
      </c>
      <c r="B44" s="223">
        <f>1075808-203000-273000-599808</f>
        <v>0</v>
      </c>
      <c r="C44" s="214" t="s">
        <v>868</v>
      </c>
      <c r="D44" s="216"/>
      <c r="E44" s="224">
        <f>426558.27-103959.48-129576.8-114246.52-53208.19-78775.47</f>
        <v>-53208.19</v>
      </c>
      <c r="F44" s="220">
        <v>2017.0</v>
      </c>
      <c r="G44" s="225">
        <v>43227.0</v>
      </c>
      <c r="H44" s="185"/>
      <c r="I44" s="186"/>
      <c r="J44" s="186"/>
      <c r="K44" s="186"/>
      <c r="L44" s="186"/>
      <c r="M44" s="186"/>
      <c r="N44" s="186"/>
      <c r="O44" s="186"/>
      <c r="P44" s="186"/>
      <c r="Q44" s="186"/>
      <c r="R44" s="174"/>
      <c r="S44" s="174"/>
      <c r="T44" s="174"/>
      <c r="U44" s="174"/>
      <c r="V44" s="174"/>
      <c r="W44" s="174"/>
      <c r="X44" s="174"/>
      <c r="Y44" s="174"/>
      <c r="Z44" s="174"/>
    </row>
    <row r="45" ht="15.75" customHeight="1">
      <c r="A45" s="221" t="s">
        <v>873</v>
      </c>
      <c r="B45" s="177" t="s">
        <v>859</v>
      </c>
      <c r="C45" s="176" t="s">
        <v>0</v>
      </c>
      <c r="D45" s="176" t="s">
        <v>729</v>
      </c>
      <c r="E45" s="177" t="s">
        <v>730</v>
      </c>
      <c r="F45" s="176" t="s">
        <v>731</v>
      </c>
      <c r="G45" s="176" t="s">
        <v>732</v>
      </c>
      <c r="H45" s="185"/>
      <c r="I45" s="186"/>
      <c r="J45" s="186"/>
      <c r="K45" s="186"/>
      <c r="L45" s="186"/>
      <c r="M45" s="186"/>
      <c r="N45" s="186"/>
      <c r="O45" s="186"/>
      <c r="P45" s="186"/>
      <c r="Q45" s="186"/>
      <c r="R45" s="178"/>
      <c r="S45" s="178"/>
      <c r="T45" s="178"/>
      <c r="U45" s="178"/>
      <c r="V45" s="178"/>
      <c r="W45" s="178"/>
      <c r="X45" s="178"/>
      <c r="Y45" s="178"/>
      <c r="Z45" s="178"/>
    </row>
    <row r="46" ht="12.75" customHeight="1">
      <c r="A46" s="179" t="s">
        <v>91</v>
      </c>
      <c r="B46" s="180">
        <f>891210.16</f>
        <v>891210.16</v>
      </c>
      <c r="C46" s="179" t="s">
        <v>874</v>
      </c>
      <c r="D46" s="181"/>
      <c r="E46" s="182">
        <f>26427.46+200000-54211.21-60828.62+114916-63517.76-61574.37</f>
        <v>101211.5</v>
      </c>
      <c r="F46" s="183">
        <v>2017.0</v>
      </c>
      <c r="G46" s="184">
        <v>43390.0</v>
      </c>
      <c r="H46" s="185"/>
      <c r="I46" s="186"/>
      <c r="J46" s="186"/>
      <c r="K46" s="186"/>
      <c r="L46" s="186"/>
      <c r="M46" s="186"/>
      <c r="N46" s="186"/>
      <c r="O46" s="186"/>
      <c r="P46" s="186"/>
      <c r="Q46" s="186"/>
      <c r="R46" s="174"/>
      <c r="S46" s="174"/>
      <c r="T46" s="174"/>
      <c r="U46" s="174"/>
      <c r="V46" s="174"/>
      <c r="W46" s="174"/>
      <c r="X46" s="174"/>
      <c r="Y46" s="174"/>
      <c r="Z46" s="174"/>
    </row>
    <row r="47" ht="12.75" customHeight="1">
      <c r="A47" s="226" t="s">
        <v>93</v>
      </c>
      <c r="B47" s="228">
        <f>217392</f>
        <v>217392</v>
      </c>
      <c r="C47" s="214" t="s">
        <v>874</v>
      </c>
      <c r="D47" s="216"/>
      <c r="E47" s="229">
        <f>33370-6426-7014+16402-5670-7434</f>
        <v>23228</v>
      </c>
      <c r="F47" s="230">
        <v>2016.0</v>
      </c>
      <c r="G47" s="231">
        <v>43390.0</v>
      </c>
      <c r="H47" s="232"/>
      <c r="I47" s="233"/>
      <c r="J47" s="233"/>
      <c r="K47" s="233"/>
      <c r="L47" s="233"/>
      <c r="M47" s="233"/>
      <c r="N47" s="233"/>
      <c r="O47" s="233"/>
      <c r="P47" s="233"/>
      <c r="Q47" s="233"/>
      <c r="R47" s="174"/>
      <c r="S47" s="174"/>
      <c r="T47" s="174"/>
      <c r="U47" s="174"/>
      <c r="V47" s="174"/>
      <c r="W47" s="174"/>
      <c r="X47" s="174"/>
      <c r="Y47" s="174"/>
      <c r="Z47" s="174"/>
    </row>
    <row r="48" ht="15.75" customHeight="1">
      <c r="A48" s="221" t="s">
        <v>883</v>
      </c>
      <c r="B48" s="177" t="s">
        <v>859</v>
      </c>
      <c r="C48" s="176" t="s">
        <v>0</v>
      </c>
      <c r="D48" s="176" t="s">
        <v>729</v>
      </c>
      <c r="E48" s="177" t="s">
        <v>730</v>
      </c>
      <c r="F48" s="176" t="s">
        <v>731</v>
      </c>
      <c r="G48" s="176" t="s">
        <v>732</v>
      </c>
      <c r="H48" s="185"/>
      <c r="I48" s="186"/>
      <c r="J48" s="186"/>
      <c r="K48" s="186"/>
      <c r="L48" s="186"/>
      <c r="M48" s="186"/>
      <c r="N48" s="186"/>
      <c r="O48" s="186"/>
      <c r="P48" s="186"/>
      <c r="Q48" s="186"/>
      <c r="R48" s="178"/>
      <c r="S48" s="178"/>
      <c r="T48" s="178"/>
      <c r="U48" s="178"/>
      <c r="V48" s="178"/>
      <c r="W48" s="178"/>
      <c r="X48" s="178"/>
      <c r="Y48" s="178"/>
      <c r="Z48" s="178"/>
    </row>
    <row r="49" ht="12.75" customHeight="1">
      <c r="A49" s="179" t="s">
        <v>884</v>
      </c>
      <c r="B49" s="180">
        <f>240000</f>
        <v>240000</v>
      </c>
      <c r="C49" s="179" t="s">
        <v>885</v>
      </c>
      <c r="D49" s="181"/>
      <c r="E49" s="182">
        <f>238000-421.5-2411.5-7371.5</f>
        <v>227795.5</v>
      </c>
      <c r="F49" s="183">
        <v>2017.0</v>
      </c>
      <c r="G49" s="184">
        <v>43455.0</v>
      </c>
      <c r="H49" s="232"/>
      <c r="I49" s="233"/>
      <c r="J49" s="233"/>
      <c r="K49" s="233"/>
      <c r="L49" s="233"/>
      <c r="M49" s="233"/>
      <c r="N49" s="233"/>
      <c r="O49" s="233"/>
      <c r="P49" s="233"/>
      <c r="Q49" s="233"/>
      <c r="R49" s="174"/>
      <c r="S49" s="174"/>
      <c r="T49" s="174"/>
      <c r="U49" s="174"/>
      <c r="V49" s="174"/>
      <c r="W49" s="174"/>
      <c r="X49" s="174"/>
      <c r="Y49" s="174"/>
      <c r="Z49" s="174"/>
    </row>
    <row r="50" ht="12.75" customHeight="1">
      <c r="A50" s="214" t="s">
        <v>884</v>
      </c>
      <c r="B50" s="223">
        <f>948375.4-60000</f>
        <v>888375.4</v>
      </c>
      <c r="C50" s="214" t="s">
        <v>886</v>
      </c>
      <c r="D50" s="216"/>
      <c r="E50" s="182">
        <f>65595.8-15485.25-16797.9-12959.4+60000</f>
        <v>80353.25</v>
      </c>
      <c r="F50" s="230" t="s">
        <v>865</v>
      </c>
      <c r="G50" s="231">
        <v>43383.0</v>
      </c>
      <c r="H50" s="232"/>
      <c r="I50" s="233"/>
      <c r="J50" s="233"/>
      <c r="K50" s="233"/>
      <c r="L50" s="233"/>
      <c r="M50" s="233"/>
      <c r="N50" s="233"/>
      <c r="O50" s="233"/>
      <c r="P50" s="233"/>
      <c r="Q50" s="233"/>
      <c r="R50" s="174"/>
      <c r="S50" s="174"/>
      <c r="T50" s="174"/>
      <c r="U50" s="174"/>
      <c r="V50" s="174"/>
      <c r="W50" s="174"/>
      <c r="X50" s="174"/>
      <c r="Y50" s="174"/>
      <c r="Z50" s="174"/>
    </row>
    <row r="51" ht="15.75" customHeight="1">
      <c r="A51" s="221" t="s">
        <v>887</v>
      </c>
      <c r="B51" s="177" t="s">
        <v>859</v>
      </c>
      <c r="C51" s="176" t="s">
        <v>0</v>
      </c>
      <c r="D51" s="176" t="s">
        <v>729</v>
      </c>
      <c r="E51" s="177" t="s">
        <v>730</v>
      </c>
      <c r="F51" s="176" t="s">
        <v>731</v>
      </c>
      <c r="G51" s="176" t="s">
        <v>732</v>
      </c>
      <c r="H51" s="185"/>
      <c r="I51" s="186"/>
      <c r="J51" s="186"/>
      <c r="K51" s="186"/>
      <c r="L51" s="186"/>
      <c r="M51" s="186"/>
      <c r="N51" s="186"/>
      <c r="O51" s="186"/>
      <c r="P51" s="186"/>
      <c r="Q51" s="186"/>
      <c r="R51" s="178"/>
      <c r="S51" s="178"/>
      <c r="T51" s="178"/>
      <c r="U51" s="178"/>
      <c r="V51" s="178"/>
      <c r="W51" s="178"/>
      <c r="X51" s="178"/>
      <c r="Y51" s="178"/>
      <c r="Z51" s="178"/>
    </row>
    <row r="52" ht="12.75" customHeight="1">
      <c r="A52" s="214" t="s">
        <v>888</v>
      </c>
      <c r="B52" s="223">
        <v>1771800.0</v>
      </c>
      <c r="C52" s="214"/>
      <c r="D52" s="216"/>
      <c r="E52" s="182" t="s">
        <v>744</v>
      </c>
      <c r="F52" s="183" t="s">
        <v>744</v>
      </c>
      <c r="G52" s="183" t="s">
        <v>745</v>
      </c>
      <c r="H52" s="232"/>
      <c r="I52" s="233"/>
      <c r="J52" s="233"/>
      <c r="K52" s="233"/>
      <c r="L52" s="233"/>
      <c r="M52" s="233"/>
      <c r="N52" s="233"/>
      <c r="O52" s="233"/>
      <c r="P52" s="233"/>
      <c r="Q52" s="233"/>
      <c r="R52" s="174"/>
      <c r="S52" s="174"/>
      <c r="T52" s="174"/>
      <c r="U52" s="174"/>
      <c r="V52" s="174"/>
      <c r="W52" s="174"/>
      <c r="X52" s="174"/>
      <c r="Y52" s="174"/>
      <c r="Z52" s="174"/>
    </row>
    <row r="53" ht="15.75" customHeight="1">
      <c r="A53" s="176" t="s">
        <v>889</v>
      </c>
      <c r="B53" s="177" t="s">
        <v>859</v>
      </c>
      <c r="C53" s="176" t="s">
        <v>0</v>
      </c>
      <c r="D53" s="176" t="s">
        <v>729</v>
      </c>
      <c r="E53" s="177" t="s">
        <v>730</v>
      </c>
      <c r="F53" s="176" t="s">
        <v>731</v>
      </c>
      <c r="G53" s="176" t="s">
        <v>732</v>
      </c>
      <c r="H53" s="173"/>
      <c r="I53" s="174"/>
      <c r="J53" s="174"/>
      <c r="K53" s="174"/>
      <c r="L53" s="174"/>
      <c r="M53" s="174"/>
      <c r="N53" s="174"/>
      <c r="O53" s="174"/>
      <c r="P53" s="174"/>
      <c r="Q53" s="174"/>
      <c r="R53" s="178"/>
      <c r="S53" s="178"/>
      <c r="T53" s="178"/>
      <c r="U53" s="178"/>
      <c r="V53" s="178"/>
      <c r="W53" s="178"/>
      <c r="X53" s="178"/>
      <c r="Y53" s="178"/>
      <c r="Z53" s="178"/>
    </row>
    <row r="54" ht="25.5" customHeight="1">
      <c r="A54" s="179" t="s">
        <v>890</v>
      </c>
      <c r="B54" s="234">
        <f>18000-18000</f>
        <v>0</v>
      </c>
      <c r="C54" s="179" t="s">
        <v>891</v>
      </c>
      <c r="D54" s="187"/>
      <c r="E54" s="182">
        <f>6000+18000-5811.98-5115.75-1759.28-818.45-1169.24-188-2316.24</f>
        <v>6821.06</v>
      </c>
      <c r="F54" s="183">
        <v>2017.0</v>
      </c>
      <c r="G54" s="184">
        <v>43090.0</v>
      </c>
      <c r="H54" s="173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</row>
    <row r="55" ht="25.5" customHeight="1">
      <c r="A55" s="179" t="s">
        <v>892</v>
      </c>
      <c r="B55" s="180">
        <f>16054.48-14800</f>
        <v>1254.48</v>
      </c>
      <c r="C55" s="179" t="s">
        <v>893</v>
      </c>
      <c r="D55" s="187"/>
      <c r="E55" s="188">
        <f>7400+14800-3700</f>
        <v>18500</v>
      </c>
      <c r="F55" s="189" t="s">
        <v>865</v>
      </c>
      <c r="G55" s="235">
        <v>43188.0</v>
      </c>
      <c r="H55" s="173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</row>
    <row r="56" ht="25.5" customHeight="1">
      <c r="A56" s="179" t="s">
        <v>894</v>
      </c>
      <c r="B56" s="180">
        <f>188468.06-63000</f>
        <v>125468.06</v>
      </c>
      <c r="C56" s="179" t="s">
        <v>895</v>
      </c>
      <c r="D56" s="187"/>
      <c r="E56" s="188">
        <f>63000-15575.16-15705.67</f>
        <v>31719.17</v>
      </c>
      <c r="F56" s="189">
        <v>2017.0</v>
      </c>
      <c r="G56" s="190">
        <v>43353.0</v>
      </c>
      <c r="H56" s="173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</row>
    <row r="57" ht="12.75" customHeight="1">
      <c r="A57" s="179" t="s">
        <v>896</v>
      </c>
      <c r="B57" s="180"/>
      <c r="C57" s="179" t="s">
        <v>897</v>
      </c>
      <c r="D57" s="187"/>
      <c r="E57" s="188">
        <f>53000</f>
        <v>53000</v>
      </c>
      <c r="F57" s="189">
        <v>2017.0</v>
      </c>
      <c r="G57" s="190">
        <v>43382.0</v>
      </c>
      <c r="H57" s="173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</row>
    <row r="58" ht="12.75" customHeight="1">
      <c r="A58" s="179" t="s">
        <v>898</v>
      </c>
      <c r="B58" s="180">
        <f>31293.75-26489.9</f>
        <v>4803.85</v>
      </c>
      <c r="C58" s="179" t="s">
        <v>899</v>
      </c>
      <c r="D58" s="187"/>
      <c r="E58" s="188">
        <f>26489.9-2111.03-2111.03-2111.03-2111.03</f>
        <v>18045.78</v>
      </c>
      <c r="F58" s="189">
        <v>2017.0</v>
      </c>
      <c r="G58" s="190">
        <v>43300.0</v>
      </c>
      <c r="H58" s="173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</row>
    <row r="59" ht="12.75" customHeight="1">
      <c r="A59" s="179" t="s">
        <v>900</v>
      </c>
      <c r="B59" s="180">
        <v>0.0</v>
      </c>
      <c r="C59" s="179" t="s">
        <v>901</v>
      </c>
      <c r="D59" s="187"/>
      <c r="E59" s="188">
        <f>44886.5-6109.7-6109.7-6109.7-2354-2354-2354-2354-2354-2354-7062</f>
        <v>5371.4</v>
      </c>
      <c r="F59" s="189">
        <v>2016.0</v>
      </c>
      <c r="G59" s="193">
        <v>43086.0</v>
      </c>
      <c r="H59" s="173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</row>
    <row r="60" ht="12.75" customHeight="1">
      <c r="A60" s="214" t="s">
        <v>902</v>
      </c>
      <c r="B60" s="223">
        <f>18219.8-18219.8</f>
        <v>0</v>
      </c>
      <c r="C60" s="214" t="s">
        <v>669</v>
      </c>
      <c r="D60" s="236"/>
      <c r="E60" s="182">
        <v>18219.8</v>
      </c>
      <c r="F60" s="183">
        <v>2017.0</v>
      </c>
      <c r="G60" s="184">
        <v>43327.0</v>
      </c>
      <c r="H60" s="173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</row>
    <row r="61" ht="12.75" customHeight="1">
      <c r="A61" s="179" t="s">
        <v>903</v>
      </c>
      <c r="B61" s="180">
        <f>224790-60000</f>
        <v>164790</v>
      </c>
      <c r="C61" s="179" t="s">
        <v>904</v>
      </c>
      <c r="D61" s="187"/>
      <c r="E61" s="188">
        <f>60000-6027</f>
        <v>53973</v>
      </c>
      <c r="F61" s="189">
        <v>2017.0</v>
      </c>
      <c r="G61" s="190">
        <v>43354.0</v>
      </c>
      <c r="H61" s="173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</row>
    <row r="62" ht="15.75" customHeight="1">
      <c r="A62" s="176" t="s">
        <v>905</v>
      </c>
      <c r="B62" s="177" t="s">
        <v>859</v>
      </c>
      <c r="C62" s="176" t="s">
        <v>0</v>
      </c>
      <c r="D62" s="176" t="s">
        <v>729</v>
      </c>
      <c r="E62" s="177" t="s">
        <v>730</v>
      </c>
      <c r="F62" s="176" t="s">
        <v>731</v>
      </c>
      <c r="G62" s="176" t="s">
        <v>732</v>
      </c>
      <c r="H62" s="173"/>
      <c r="I62" s="174"/>
      <c r="J62" s="174"/>
      <c r="K62" s="174"/>
      <c r="L62" s="174"/>
      <c r="M62" s="174"/>
      <c r="N62" s="174"/>
      <c r="O62" s="174"/>
      <c r="P62" s="174"/>
      <c r="Q62" s="174"/>
      <c r="R62" s="178"/>
      <c r="S62" s="178"/>
      <c r="T62" s="178"/>
      <c r="U62" s="178"/>
      <c r="V62" s="178"/>
      <c r="W62" s="178"/>
      <c r="X62" s="178"/>
      <c r="Y62" s="178"/>
      <c r="Z62" s="178"/>
    </row>
    <row r="63" ht="25.5" customHeight="1">
      <c r="A63" s="179" t="s">
        <v>909</v>
      </c>
      <c r="B63" s="180">
        <f>3476467.4-1738233.72-579411.66</f>
        <v>1158822.02</v>
      </c>
      <c r="C63" s="179" t="s">
        <v>912</v>
      </c>
      <c r="D63" s="187"/>
      <c r="E63" s="188">
        <f>1738233.72-289705.62-289705.62-289705.62+579411.66-311897.07</f>
        <v>1136631.45</v>
      </c>
      <c r="F63" s="189">
        <v>2017.0</v>
      </c>
      <c r="G63" s="190">
        <v>43260.0</v>
      </c>
      <c r="H63" s="173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</row>
    <row r="64" ht="25.5" customHeight="1">
      <c r="A64" s="179" t="s">
        <v>915</v>
      </c>
      <c r="B64" s="180">
        <f>145600-37000-61000</f>
        <v>47600</v>
      </c>
      <c r="C64" s="179" t="s">
        <v>916</v>
      </c>
      <c r="D64" s="181"/>
      <c r="E64" s="188">
        <f>30963+69060-7559.92-8211.9-6881.03-10051.9+37000-7259.9+61000-8664.19-7048.32-9532.99-9069.6-8061.03+47600</f>
        <v>163282.22</v>
      </c>
      <c r="F64" s="189">
        <v>2017.0</v>
      </c>
      <c r="G64" s="190">
        <v>43225.0</v>
      </c>
      <c r="H64" s="173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</row>
    <row r="65" ht="25.5" customHeight="1">
      <c r="A65" s="179" t="s">
        <v>919</v>
      </c>
      <c r="B65" s="234">
        <v>0.0</v>
      </c>
      <c r="C65" s="238" t="s">
        <v>921</v>
      </c>
      <c r="D65" s="187"/>
      <c r="E65" s="188">
        <f>2550-850+3400-850</f>
        <v>4250</v>
      </c>
      <c r="F65" s="189" t="s">
        <v>865</v>
      </c>
      <c r="G65" s="190">
        <v>43258.0</v>
      </c>
      <c r="H65" s="173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</row>
    <row r="66" ht="25.5" customHeight="1">
      <c r="A66" s="214" t="s">
        <v>924</v>
      </c>
      <c r="B66" s="239">
        <v>0.0</v>
      </c>
      <c r="C66" s="240" t="s">
        <v>925</v>
      </c>
      <c r="D66" s="241"/>
      <c r="E66" s="242">
        <f>94662.47-2657.42-2310.8-2253.03-2541.88-2426.34-2599.65-2426.34-2310.8-1545.3-2449.98-2512.8</f>
        <v>68628.13</v>
      </c>
      <c r="F66" s="243" t="s">
        <v>926</v>
      </c>
      <c r="G66" s="244">
        <v>43087.0</v>
      </c>
      <c r="H66" s="173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</row>
    <row r="67" ht="15.75" customHeight="1">
      <c r="A67" s="176" t="s">
        <v>927</v>
      </c>
      <c r="B67" s="177" t="s">
        <v>859</v>
      </c>
      <c r="C67" s="176" t="s">
        <v>0</v>
      </c>
      <c r="D67" s="176" t="s">
        <v>729</v>
      </c>
      <c r="E67" s="177" t="s">
        <v>730</v>
      </c>
      <c r="F67" s="176" t="s">
        <v>731</v>
      </c>
      <c r="G67" s="176" t="s">
        <v>732</v>
      </c>
      <c r="H67" s="173"/>
      <c r="I67" s="174"/>
      <c r="J67" s="174"/>
      <c r="K67" s="174"/>
      <c r="L67" s="174"/>
      <c r="M67" s="174"/>
      <c r="N67" s="174"/>
      <c r="O67" s="174"/>
      <c r="P67" s="174"/>
      <c r="Q67" s="174"/>
      <c r="R67" s="178"/>
      <c r="S67" s="178"/>
      <c r="T67" s="178"/>
      <c r="U67" s="178"/>
      <c r="V67" s="178"/>
      <c r="W67" s="178"/>
      <c r="X67" s="178"/>
      <c r="Y67" s="178"/>
      <c r="Z67" s="178"/>
    </row>
    <row r="68" ht="25.5" customHeight="1">
      <c r="A68" s="179" t="s">
        <v>928</v>
      </c>
      <c r="B68" s="180">
        <f>15760-15759.96</f>
        <v>0.04</v>
      </c>
      <c r="C68" s="238" t="s">
        <v>518</v>
      </c>
      <c r="D68" s="187"/>
      <c r="E68" s="182">
        <f>15759.96-1313.33-1313.33-1313.33-1313.33-1313.33-1313.33-1313.33</f>
        <v>6566.65</v>
      </c>
      <c r="F68" s="183">
        <v>2017.0</v>
      </c>
      <c r="G68" s="209">
        <v>43199.0</v>
      </c>
      <c r="H68" s="173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</row>
    <row r="69" ht="38.25" customHeight="1">
      <c r="A69" s="179" t="s">
        <v>929</v>
      </c>
      <c r="B69" s="180">
        <v>12540.0</v>
      </c>
      <c r="C69" s="179" t="s">
        <v>930</v>
      </c>
      <c r="D69" s="187"/>
      <c r="E69" s="182" t="s">
        <v>744</v>
      </c>
      <c r="F69" s="183" t="s">
        <v>744</v>
      </c>
      <c r="G69" s="183" t="s">
        <v>745</v>
      </c>
      <c r="H69" s="173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</row>
    <row r="70" ht="12.75" customHeight="1">
      <c r="A70" s="214" t="s">
        <v>931</v>
      </c>
      <c r="B70" s="223">
        <f>1776</f>
        <v>1776</v>
      </c>
      <c r="C70" s="214" t="s">
        <v>932</v>
      </c>
      <c r="D70" s="241"/>
      <c r="E70" s="242">
        <f>1496-148-148-148-148-148-148-148-148-148-148+1776-148</f>
        <v>1644</v>
      </c>
      <c r="F70" s="243"/>
      <c r="G70" s="245">
        <v>43332.0</v>
      </c>
      <c r="H70" s="173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</row>
    <row r="71" ht="15.75" customHeight="1">
      <c r="A71" s="176" t="s">
        <v>933</v>
      </c>
      <c r="B71" s="177" t="s">
        <v>859</v>
      </c>
      <c r="C71" s="176" t="s">
        <v>0</v>
      </c>
      <c r="D71" s="176" t="s">
        <v>729</v>
      </c>
      <c r="E71" s="177" t="s">
        <v>730</v>
      </c>
      <c r="F71" s="176" t="s">
        <v>731</v>
      </c>
      <c r="G71" s="176" t="s">
        <v>732</v>
      </c>
      <c r="H71" s="173"/>
      <c r="I71" s="174"/>
      <c r="J71" s="174"/>
      <c r="K71" s="174"/>
      <c r="L71" s="174"/>
      <c r="M71" s="174"/>
      <c r="N71" s="174"/>
      <c r="O71" s="174"/>
      <c r="P71" s="174"/>
      <c r="Q71" s="174"/>
      <c r="R71" s="178"/>
      <c r="S71" s="178"/>
      <c r="T71" s="178"/>
      <c r="U71" s="178"/>
      <c r="V71" s="178"/>
      <c r="W71" s="178"/>
      <c r="X71" s="178"/>
      <c r="Y71" s="178"/>
      <c r="Z71" s="178"/>
    </row>
    <row r="72" ht="25.5" customHeight="1">
      <c r="A72" s="179" t="s">
        <v>934</v>
      </c>
      <c r="B72" s="180">
        <v>21800.0</v>
      </c>
      <c r="C72" s="238" t="s">
        <v>935</v>
      </c>
      <c r="D72" s="187"/>
      <c r="E72" s="182">
        <f>21800-21800</f>
        <v>0</v>
      </c>
      <c r="F72" s="183">
        <v>2017.0</v>
      </c>
      <c r="G72" s="184">
        <v>43242.0</v>
      </c>
      <c r="H72" s="173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</row>
    <row r="73" ht="38.25" customHeight="1">
      <c r="A73" s="214" t="s">
        <v>936</v>
      </c>
      <c r="B73" s="223">
        <f>250000-250000</f>
        <v>0</v>
      </c>
      <c r="C73" s="214" t="s">
        <v>937</v>
      </c>
      <c r="D73" s="241"/>
      <c r="E73" s="246">
        <f>250000-23999.8-23999.8-19199.84-8848.06-54977.27-18927-32931.47</f>
        <v>67116.76</v>
      </c>
      <c r="F73" s="220">
        <v>2017.0</v>
      </c>
      <c r="G73" s="247">
        <v>43139.0</v>
      </c>
      <c r="H73" s="173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</row>
    <row r="74" ht="15.75" customHeight="1">
      <c r="A74" s="176" t="s">
        <v>938</v>
      </c>
      <c r="B74" s="177" t="s">
        <v>859</v>
      </c>
      <c r="C74" s="176" t="s">
        <v>0</v>
      </c>
      <c r="D74" s="176" t="s">
        <v>729</v>
      </c>
      <c r="E74" s="177" t="s">
        <v>730</v>
      </c>
      <c r="F74" s="176" t="s">
        <v>731</v>
      </c>
      <c r="G74" s="176" t="s">
        <v>732</v>
      </c>
      <c r="H74" s="173"/>
      <c r="I74" s="174"/>
      <c r="J74" s="174"/>
      <c r="K74" s="174"/>
      <c r="L74" s="174"/>
      <c r="M74" s="174"/>
      <c r="N74" s="174"/>
      <c r="O74" s="174"/>
      <c r="P74" s="174"/>
      <c r="Q74" s="174"/>
      <c r="R74" s="178"/>
      <c r="S74" s="178"/>
      <c r="T74" s="178"/>
      <c r="U74" s="178"/>
      <c r="V74" s="178"/>
      <c r="W74" s="178"/>
      <c r="X74" s="178"/>
      <c r="Y74" s="178"/>
      <c r="Z74" s="178"/>
    </row>
    <row r="75" ht="25.5" customHeight="1">
      <c r="A75" s="179" t="s">
        <v>939</v>
      </c>
      <c r="B75" s="180">
        <f>437500-200000-164000</f>
        <v>73500</v>
      </c>
      <c r="C75" s="179" t="s">
        <v>940</v>
      </c>
      <c r="D75" s="187"/>
      <c r="E75" s="188">
        <f>112436.17+27887.76+200000-31830.1-30779.94+164000-39641.44-18712.4-55426.13-26671.22</f>
        <v>301262.7</v>
      </c>
      <c r="F75" s="189" t="s">
        <v>756</v>
      </c>
      <c r="G75" s="190">
        <v>43246.0</v>
      </c>
      <c r="H75" s="173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</row>
    <row r="76" ht="25.5" customHeight="1">
      <c r="A76" s="179" t="s">
        <v>941</v>
      </c>
      <c r="B76" s="180">
        <f>11571.12</f>
        <v>11571.12</v>
      </c>
      <c r="C76" s="179" t="s">
        <v>942</v>
      </c>
      <c r="D76" s="187"/>
      <c r="E76" s="188">
        <f>9947.49-1105.28-1105.28-1105.28-1105.28-1105.28-1105.25+11571.12-964.26-964.26-964.26</f>
        <v>11994.18</v>
      </c>
      <c r="F76" s="189">
        <v>2016.0</v>
      </c>
      <c r="G76" s="190">
        <v>43354.0</v>
      </c>
      <c r="H76" s="173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</row>
    <row r="77" ht="12.75" customHeight="1">
      <c r="A77" s="214" t="s">
        <v>943</v>
      </c>
      <c r="B77" s="223">
        <f>16332-16332</f>
        <v>0</v>
      </c>
      <c r="C77" s="214" t="s">
        <v>944</v>
      </c>
      <c r="D77" s="241"/>
      <c r="E77" s="242">
        <f>11979-1003-1089-1089-1089-1089-1089-1089+16332-1089-1089</f>
        <v>18596</v>
      </c>
      <c r="F77" s="243">
        <v>2017.0</v>
      </c>
      <c r="G77" s="245">
        <v>43410.0</v>
      </c>
      <c r="H77" s="173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</row>
    <row r="78" ht="12.75" customHeight="1">
      <c r="A78" s="214" t="s">
        <v>945</v>
      </c>
      <c r="B78" s="223">
        <v>67075.92</v>
      </c>
      <c r="C78" s="214" t="s">
        <v>946</v>
      </c>
      <c r="D78" s="241"/>
      <c r="E78" s="242">
        <f>23000-5589.66</f>
        <v>17410.34</v>
      </c>
      <c r="F78" s="243"/>
      <c r="G78" s="245"/>
      <c r="H78" s="173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</row>
    <row r="79" ht="12.75" customHeight="1">
      <c r="A79" s="214" t="s">
        <v>947</v>
      </c>
      <c r="B79" s="223">
        <v>0.0</v>
      </c>
      <c r="C79" s="214" t="s">
        <v>948</v>
      </c>
      <c r="D79" s="241"/>
      <c r="E79" s="242">
        <f>27600-2300-2300-2300-2300</f>
        <v>18400</v>
      </c>
      <c r="F79" s="243">
        <v>2017.0</v>
      </c>
      <c r="G79" s="248">
        <v>43201.0</v>
      </c>
      <c r="H79" s="173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</row>
    <row r="80" ht="15.75" customHeight="1">
      <c r="A80" s="176" t="s">
        <v>949</v>
      </c>
      <c r="B80" s="177" t="s">
        <v>859</v>
      </c>
      <c r="C80" s="176" t="s">
        <v>0</v>
      </c>
      <c r="D80" s="176" t="s">
        <v>729</v>
      </c>
      <c r="E80" s="177" t="s">
        <v>730</v>
      </c>
      <c r="F80" s="176" t="s">
        <v>731</v>
      </c>
      <c r="G80" s="176" t="s">
        <v>732</v>
      </c>
      <c r="H80" s="173"/>
      <c r="I80" s="174"/>
      <c r="J80" s="174"/>
      <c r="K80" s="174"/>
      <c r="L80" s="174"/>
      <c r="M80" s="174"/>
      <c r="N80" s="174"/>
      <c r="O80" s="174"/>
      <c r="P80" s="174"/>
      <c r="Q80" s="174"/>
      <c r="R80" s="178"/>
      <c r="S80" s="178"/>
      <c r="T80" s="178"/>
      <c r="U80" s="178"/>
      <c r="V80" s="178"/>
      <c r="W80" s="178"/>
      <c r="X80" s="178"/>
      <c r="Y80" s="178"/>
      <c r="Z80" s="178"/>
    </row>
    <row r="81" ht="12.75" customHeight="1">
      <c r="A81" s="214" t="s">
        <v>950</v>
      </c>
      <c r="B81" s="223">
        <f>104547.1-50000-54547.1</f>
        <v>0</v>
      </c>
      <c r="C81" s="214" t="s">
        <v>951</v>
      </c>
      <c r="D81" s="241"/>
      <c r="E81" s="242">
        <f>19988-7364-11572-3682+50000-10622.52-1052-1677.24-16772.4+54547.1-10622.52-2795.4</f>
        <v>58375.02</v>
      </c>
      <c r="F81" s="243">
        <v>2017.0</v>
      </c>
      <c r="G81" s="248">
        <v>43204.0</v>
      </c>
      <c r="H81" s="173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</row>
    <row r="82" ht="15.75" customHeight="1">
      <c r="A82" s="176" t="s">
        <v>952</v>
      </c>
      <c r="B82" s="177" t="s">
        <v>859</v>
      </c>
      <c r="C82" s="176" t="s">
        <v>0</v>
      </c>
      <c r="D82" s="176" t="s">
        <v>729</v>
      </c>
      <c r="E82" s="177" t="s">
        <v>730</v>
      </c>
      <c r="F82" s="176" t="s">
        <v>731</v>
      </c>
      <c r="G82" s="176" t="s">
        <v>732</v>
      </c>
      <c r="H82" s="173"/>
      <c r="I82" s="174"/>
      <c r="J82" s="174"/>
      <c r="K82" s="174"/>
      <c r="L82" s="174"/>
      <c r="M82" s="174"/>
      <c r="N82" s="174"/>
      <c r="O82" s="174"/>
      <c r="P82" s="174"/>
      <c r="Q82" s="174"/>
      <c r="R82" s="178"/>
      <c r="S82" s="178"/>
      <c r="T82" s="178"/>
      <c r="U82" s="178"/>
      <c r="V82" s="178"/>
      <c r="W82" s="178"/>
      <c r="X82" s="178"/>
      <c r="Y82" s="178"/>
      <c r="Z82" s="178"/>
    </row>
    <row r="83" ht="25.5" customHeight="1">
      <c r="A83" s="179" t="s">
        <v>953</v>
      </c>
      <c r="B83" s="180">
        <f>94723.78-32000-62723.78</f>
        <v>0</v>
      </c>
      <c r="C83" s="179" t="s">
        <v>954</v>
      </c>
      <c r="D83" s="187"/>
      <c r="E83" s="188">
        <f>32000-7426.9-8458.2-10288.41+62723.78</f>
        <v>68550.27</v>
      </c>
      <c r="F83" s="189">
        <v>2017.0</v>
      </c>
      <c r="G83" s="190">
        <v>43315.0</v>
      </c>
      <c r="H83" s="173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</row>
    <row r="84" ht="18.75" customHeight="1">
      <c r="A84" s="249" t="s">
        <v>955</v>
      </c>
      <c r="B84" s="250">
        <f>SUM(B3:B83)</f>
        <v>13405673.74</v>
      </c>
      <c r="C84" s="249"/>
      <c r="D84" s="251"/>
      <c r="E84" s="252">
        <f>SUM(E3:E83)</f>
        <v>5322239.65</v>
      </c>
      <c r="F84" s="249"/>
      <c r="G84" s="249"/>
      <c r="H84" s="173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</row>
    <row r="85" ht="12.75" customHeight="1">
      <c r="A85" s="253"/>
      <c r="B85" s="254"/>
      <c r="C85" s="253"/>
      <c r="D85" s="253"/>
      <c r="E85" s="254"/>
      <c r="F85" s="253"/>
      <c r="G85" s="253"/>
      <c r="H85" s="173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</row>
    <row r="86" ht="12.75" customHeight="1">
      <c r="A86" s="253"/>
      <c r="B86" s="254"/>
      <c r="C86" s="253"/>
      <c r="D86" s="253"/>
      <c r="E86" s="254"/>
      <c r="F86" s="253"/>
      <c r="G86" s="253"/>
      <c r="H86" s="173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</row>
    <row r="87" ht="12.75" customHeight="1">
      <c r="A87" s="253"/>
      <c r="B87" s="254"/>
      <c r="C87" s="253"/>
      <c r="D87" s="253"/>
      <c r="E87" s="254"/>
      <c r="F87" s="253"/>
      <c r="G87" s="253"/>
      <c r="H87" s="173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</row>
    <row r="88" ht="12.75" customHeight="1">
      <c r="A88" s="253"/>
      <c r="B88" s="254"/>
      <c r="C88" s="253"/>
      <c r="D88" s="253"/>
      <c r="E88" s="254"/>
      <c r="F88" s="253"/>
      <c r="G88" s="253"/>
      <c r="H88" s="173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</row>
    <row r="89" ht="12.75" customHeight="1">
      <c r="A89" s="253"/>
      <c r="B89" s="254"/>
      <c r="C89" s="253"/>
      <c r="D89" s="253"/>
      <c r="E89" s="254"/>
      <c r="F89" s="253"/>
      <c r="G89" s="253"/>
      <c r="H89" s="173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</row>
    <row r="90" ht="12.75" customHeight="1">
      <c r="A90" s="253"/>
      <c r="B90" s="254"/>
      <c r="C90" s="253"/>
      <c r="D90" s="253"/>
      <c r="E90" s="254"/>
      <c r="F90" s="253"/>
      <c r="G90" s="253"/>
      <c r="H90" s="173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</row>
    <row r="91" ht="12.75" customHeight="1">
      <c r="A91" s="253"/>
      <c r="B91" s="254"/>
      <c r="C91" s="253"/>
      <c r="D91" s="253"/>
      <c r="E91" s="254"/>
      <c r="F91" s="253"/>
      <c r="G91" s="253"/>
      <c r="H91" s="173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</row>
    <row r="92" ht="12.75" customHeight="1">
      <c r="A92" s="253"/>
      <c r="B92" s="254"/>
      <c r="C92" s="253"/>
      <c r="D92" s="253"/>
      <c r="E92" s="254"/>
      <c r="F92" s="253"/>
      <c r="G92" s="253"/>
      <c r="H92" s="173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</row>
    <row r="93" ht="12.75" customHeight="1">
      <c r="A93" s="253"/>
      <c r="B93" s="254"/>
      <c r="C93" s="253"/>
      <c r="D93" s="253"/>
      <c r="E93" s="254"/>
      <c r="F93" s="253"/>
      <c r="G93" s="253"/>
      <c r="H93" s="173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</row>
    <row r="94" ht="12.75" customHeight="1">
      <c r="A94" s="253"/>
      <c r="B94" s="254"/>
      <c r="C94" s="253"/>
      <c r="D94" s="253"/>
      <c r="E94" s="254"/>
      <c r="F94" s="253"/>
      <c r="G94" s="253"/>
      <c r="H94" s="173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</row>
    <row r="95" ht="12.75" customHeight="1">
      <c r="A95" s="253"/>
      <c r="B95" s="254"/>
      <c r="C95" s="253"/>
      <c r="D95" s="253"/>
      <c r="E95" s="254"/>
      <c r="F95" s="253"/>
      <c r="G95" s="253"/>
      <c r="H95" s="173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</row>
    <row r="96" ht="12.75" customHeight="1">
      <c r="A96" s="253"/>
      <c r="B96" s="254"/>
      <c r="C96" s="253"/>
      <c r="D96" s="253"/>
      <c r="E96" s="254"/>
      <c r="F96" s="253"/>
      <c r="G96" s="253"/>
      <c r="H96" s="173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</row>
    <row r="97" ht="12.75" customHeight="1">
      <c r="A97" s="253"/>
      <c r="B97" s="254"/>
      <c r="C97" s="253"/>
      <c r="D97" s="253"/>
      <c r="E97" s="254"/>
      <c r="F97" s="253"/>
      <c r="G97" s="253"/>
      <c r="H97" s="173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</row>
    <row r="98" ht="12.75" customHeight="1">
      <c r="A98" s="253"/>
      <c r="B98" s="254"/>
      <c r="C98" s="253"/>
      <c r="D98" s="253"/>
      <c r="E98" s="254"/>
      <c r="F98" s="253"/>
      <c r="G98" s="253"/>
      <c r="H98" s="173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</row>
    <row r="99" ht="12.75" customHeight="1">
      <c r="A99" s="253"/>
      <c r="B99" s="254"/>
      <c r="C99" s="253"/>
      <c r="D99" s="253"/>
      <c r="E99" s="254"/>
      <c r="F99" s="253"/>
      <c r="G99" s="253"/>
      <c r="H99" s="173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</row>
    <row r="100" ht="12.75" customHeight="1">
      <c r="A100" s="253"/>
      <c r="B100" s="254"/>
      <c r="C100" s="253"/>
      <c r="D100" s="253"/>
      <c r="E100" s="254"/>
      <c r="F100" s="253"/>
      <c r="G100" s="253"/>
      <c r="H100" s="173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</row>
    <row r="101" ht="12.75" customHeight="1">
      <c r="A101" s="253"/>
      <c r="B101" s="254"/>
      <c r="C101" s="253"/>
      <c r="D101" s="253"/>
      <c r="E101" s="254"/>
      <c r="F101" s="253"/>
      <c r="G101" s="253"/>
      <c r="H101" s="173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</row>
    <row r="102" ht="12.75" customHeight="1">
      <c r="A102" s="253"/>
      <c r="B102" s="254"/>
      <c r="C102" s="253"/>
      <c r="D102" s="253"/>
      <c r="E102" s="254"/>
      <c r="F102" s="253"/>
      <c r="G102" s="253"/>
      <c r="H102" s="173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ht="12.75" customHeight="1">
      <c r="A103" s="253"/>
      <c r="B103" s="254"/>
      <c r="C103" s="253"/>
      <c r="D103" s="253"/>
      <c r="E103" s="254"/>
      <c r="F103" s="253"/>
      <c r="G103" s="253"/>
      <c r="H103" s="173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</row>
    <row r="104" ht="12.75" customHeight="1">
      <c r="A104" s="253"/>
      <c r="B104" s="254"/>
      <c r="C104" s="253"/>
      <c r="D104" s="253"/>
      <c r="E104" s="254"/>
      <c r="F104" s="253"/>
      <c r="G104" s="253"/>
      <c r="H104" s="173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</row>
    <row r="105" ht="12.75" customHeight="1">
      <c r="A105" s="253"/>
      <c r="B105" s="254"/>
      <c r="C105" s="253"/>
      <c r="D105" s="253"/>
      <c r="E105" s="254"/>
      <c r="F105" s="253"/>
      <c r="G105" s="253"/>
      <c r="H105" s="173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</row>
    <row r="106" ht="12.75" customHeight="1">
      <c r="A106" s="253"/>
      <c r="B106" s="254"/>
      <c r="C106" s="253"/>
      <c r="D106" s="253"/>
      <c r="E106" s="254"/>
      <c r="F106" s="253"/>
      <c r="G106" s="253"/>
      <c r="H106" s="173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</row>
    <row r="107" ht="12.75" customHeight="1">
      <c r="A107" s="253"/>
      <c r="B107" s="254"/>
      <c r="C107" s="253"/>
      <c r="D107" s="253"/>
      <c r="E107" s="254"/>
      <c r="F107" s="253"/>
      <c r="G107" s="253"/>
      <c r="H107" s="173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</row>
    <row r="108" ht="12.75" customHeight="1">
      <c r="A108" s="253"/>
      <c r="B108" s="254"/>
      <c r="C108" s="253"/>
      <c r="D108" s="253"/>
      <c r="E108" s="254"/>
      <c r="F108" s="253"/>
      <c r="G108" s="253"/>
      <c r="H108" s="173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</row>
    <row r="109" ht="12.75" customHeight="1">
      <c r="A109" s="253"/>
      <c r="B109" s="254"/>
      <c r="C109" s="253"/>
      <c r="D109" s="253"/>
      <c r="E109" s="254"/>
      <c r="F109" s="253"/>
      <c r="G109" s="253"/>
      <c r="H109" s="173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</row>
    <row r="110" ht="12.75" customHeight="1">
      <c r="A110" s="253"/>
      <c r="B110" s="254"/>
      <c r="C110" s="253"/>
      <c r="D110" s="253"/>
      <c r="E110" s="254"/>
      <c r="F110" s="253"/>
      <c r="G110" s="253"/>
      <c r="H110" s="173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</row>
    <row r="111" ht="12.75" customHeight="1">
      <c r="A111" s="253"/>
      <c r="B111" s="254"/>
      <c r="C111" s="253"/>
      <c r="D111" s="253"/>
      <c r="E111" s="254"/>
      <c r="F111" s="253"/>
      <c r="G111" s="253"/>
      <c r="H111" s="173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</row>
    <row r="112" ht="12.75" customHeight="1">
      <c r="A112" s="253"/>
      <c r="B112" s="254"/>
      <c r="C112" s="253"/>
      <c r="D112" s="253"/>
      <c r="E112" s="254"/>
      <c r="F112" s="253"/>
      <c r="G112" s="253"/>
      <c r="H112" s="173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</row>
    <row r="113" ht="12.75" customHeight="1">
      <c r="A113" s="253"/>
      <c r="B113" s="254"/>
      <c r="C113" s="253"/>
      <c r="D113" s="253"/>
      <c r="E113" s="254"/>
      <c r="F113" s="253"/>
      <c r="G113" s="253"/>
      <c r="H113" s="173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ht="12.75" customHeight="1">
      <c r="A114" s="253"/>
      <c r="B114" s="254"/>
      <c r="C114" s="253"/>
      <c r="D114" s="253"/>
      <c r="E114" s="254"/>
      <c r="F114" s="253"/>
      <c r="G114" s="253"/>
      <c r="H114" s="173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</row>
    <row r="115" ht="12.75" customHeight="1">
      <c r="A115" s="253"/>
      <c r="B115" s="254"/>
      <c r="C115" s="253"/>
      <c r="D115" s="253"/>
      <c r="E115" s="254"/>
      <c r="F115" s="253"/>
      <c r="G115" s="253"/>
      <c r="H115" s="173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</row>
    <row r="116" ht="12.75" customHeight="1">
      <c r="A116" s="253"/>
      <c r="B116" s="254"/>
      <c r="C116" s="253"/>
      <c r="D116" s="253"/>
      <c r="E116" s="254"/>
      <c r="F116" s="253"/>
      <c r="G116" s="253"/>
      <c r="H116" s="173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</row>
    <row r="117" ht="12.75" customHeight="1">
      <c r="A117" s="253"/>
      <c r="B117" s="254"/>
      <c r="C117" s="253"/>
      <c r="D117" s="253"/>
      <c r="E117" s="254"/>
      <c r="F117" s="253"/>
      <c r="G117" s="253"/>
      <c r="H117" s="173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</row>
    <row r="118" ht="12.75" customHeight="1">
      <c r="A118" s="253"/>
      <c r="B118" s="254"/>
      <c r="C118" s="253"/>
      <c r="D118" s="253"/>
      <c r="E118" s="254"/>
      <c r="F118" s="253"/>
      <c r="G118" s="253"/>
      <c r="H118" s="173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</row>
    <row r="119" ht="12.75" customHeight="1">
      <c r="A119" s="253"/>
      <c r="B119" s="254"/>
      <c r="C119" s="253"/>
      <c r="D119" s="253"/>
      <c r="E119" s="254"/>
      <c r="F119" s="253"/>
      <c r="G119" s="253"/>
      <c r="H119" s="173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</row>
    <row r="120" ht="12.75" customHeight="1">
      <c r="A120" s="253"/>
      <c r="B120" s="254"/>
      <c r="C120" s="253"/>
      <c r="D120" s="253"/>
      <c r="E120" s="254"/>
      <c r="F120" s="253"/>
      <c r="G120" s="253"/>
      <c r="H120" s="173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</row>
    <row r="121" ht="12.75" customHeight="1">
      <c r="A121" s="253"/>
      <c r="B121" s="254"/>
      <c r="C121" s="253"/>
      <c r="D121" s="253"/>
      <c r="E121" s="254"/>
      <c r="F121" s="253"/>
      <c r="G121" s="253"/>
      <c r="H121" s="173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</row>
    <row r="122" ht="12.75" customHeight="1">
      <c r="A122" s="253"/>
      <c r="B122" s="254"/>
      <c r="C122" s="253"/>
      <c r="D122" s="253"/>
      <c r="E122" s="254"/>
      <c r="F122" s="253"/>
      <c r="G122" s="253"/>
      <c r="H122" s="173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</row>
    <row r="123" ht="12.75" customHeight="1">
      <c r="A123" s="253"/>
      <c r="B123" s="254"/>
      <c r="C123" s="253"/>
      <c r="D123" s="253"/>
      <c r="E123" s="254"/>
      <c r="F123" s="253"/>
      <c r="G123" s="253"/>
      <c r="H123" s="173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</row>
    <row r="124" ht="12.75" customHeight="1">
      <c r="A124" s="253"/>
      <c r="B124" s="254"/>
      <c r="C124" s="253"/>
      <c r="D124" s="253"/>
      <c r="E124" s="254"/>
      <c r="F124" s="253"/>
      <c r="G124" s="253"/>
      <c r="H124" s="173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ht="12.75" customHeight="1">
      <c r="A125" s="253"/>
      <c r="B125" s="254"/>
      <c r="C125" s="253"/>
      <c r="D125" s="253"/>
      <c r="E125" s="254"/>
      <c r="F125" s="253"/>
      <c r="G125" s="253"/>
      <c r="H125" s="173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</row>
    <row r="126" ht="12.75" customHeight="1">
      <c r="A126" s="253"/>
      <c r="B126" s="254"/>
      <c r="C126" s="253"/>
      <c r="D126" s="253"/>
      <c r="E126" s="254"/>
      <c r="F126" s="253"/>
      <c r="G126" s="253"/>
      <c r="H126" s="173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</row>
    <row r="127" ht="12.75" customHeight="1">
      <c r="A127" s="253"/>
      <c r="B127" s="254"/>
      <c r="C127" s="253"/>
      <c r="D127" s="253"/>
      <c r="E127" s="254"/>
      <c r="F127" s="253"/>
      <c r="G127" s="253"/>
      <c r="H127" s="173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</row>
    <row r="128" ht="12.75" customHeight="1">
      <c r="A128" s="253"/>
      <c r="B128" s="254"/>
      <c r="C128" s="253"/>
      <c r="D128" s="253"/>
      <c r="E128" s="254"/>
      <c r="F128" s="253"/>
      <c r="G128" s="253"/>
      <c r="H128" s="173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</row>
    <row r="129" ht="12.75" customHeight="1">
      <c r="A129" s="253"/>
      <c r="B129" s="254"/>
      <c r="C129" s="253"/>
      <c r="D129" s="253"/>
      <c r="E129" s="254"/>
      <c r="F129" s="253"/>
      <c r="G129" s="253"/>
      <c r="H129" s="173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</row>
    <row r="130" ht="12.75" customHeight="1">
      <c r="A130" s="253"/>
      <c r="B130" s="254"/>
      <c r="C130" s="253"/>
      <c r="D130" s="253"/>
      <c r="E130" s="254"/>
      <c r="F130" s="253"/>
      <c r="G130" s="253"/>
      <c r="H130" s="173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</row>
    <row r="131" ht="12.75" customHeight="1">
      <c r="A131" s="253"/>
      <c r="B131" s="254"/>
      <c r="C131" s="253"/>
      <c r="D131" s="253"/>
      <c r="E131" s="254"/>
      <c r="F131" s="253"/>
      <c r="G131" s="253"/>
      <c r="H131" s="173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</row>
    <row r="132" ht="12.75" customHeight="1">
      <c r="A132" s="253"/>
      <c r="B132" s="254"/>
      <c r="C132" s="253"/>
      <c r="D132" s="253"/>
      <c r="E132" s="254"/>
      <c r="F132" s="253"/>
      <c r="G132" s="253"/>
      <c r="H132" s="173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</row>
    <row r="133" ht="12.75" customHeight="1">
      <c r="A133" s="253"/>
      <c r="B133" s="254"/>
      <c r="C133" s="253"/>
      <c r="D133" s="253"/>
      <c r="E133" s="254"/>
      <c r="F133" s="253"/>
      <c r="G133" s="253"/>
      <c r="H133" s="173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</row>
    <row r="134" ht="12.75" customHeight="1">
      <c r="A134" s="253"/>
      <c r="B134" s="254"/>
      <c r="C134" s="253"/>
      <c r="D134" s="253"/>
      <c r="E134" s="254"/>
      <c r="F134" s="253"/>
      <c r="G134" s="253"/>
      <c r="H134" s="173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</row>
    <row r="135" ht="12.75" customHeight="1">
      <c r="A135" s="253"/>
      <c r="B135" s="254"/>
      <c r="C135" s="253"/>
      <c r="D135" s="253"/>
      <c r="E135" s="254"/>
      <c r="F135" s="253"/>
      <c r="G135" s="253"/>
      <c r="H135" s="173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</row>
    <row r="136" ht="12.75" customHeight="1">
      <c r="A136" s="253"/>
      <c r="B136" s="254"/>
      <c r="C136" s="253"/>
      <c r="D136" s="253"/>
      <c r="E136" s="254"/>
      <c r="F136" s="253"/>
      <c r="G136" s="253"/>
      <c r="H136" s="173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</row>
    <row r="137" ht="12.75" customHeight="1">
      <c r="A137" s="253"/>
      <c r="B137" s="254"/>
      <c r="C137" s="253"/>
      <c r="D137" s="253"/>
      <c r="E137" s="254"/>
      <c r="F137" s="253"/>
      <c r="G137" s="253"/>
      <c r="H137" s="173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</row>
    <row r="138" ht="12.75" customHeight="1">
      <c r="A138" s="253"/>
      <c r="B138" s="254"/>
      <c r="C138" s="253"/>
      <c r="D138" s="253"/>
      <c r="E138" s="254"/>
      <c r="F138" s="253"/>
      <c r="G138" s="253"/>
      <c r="H138" s="173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ht="12.75" customHeight="1">
      <c r="A139" s="253"/>
      <c r="B139" s="254"/>
      <c r="C139" s="253"/>
      <c r="D139" s="253"/>
      <c r="E139" s="254"/>
      <c r="F139" s="253"/>
      <c r="G139" s="253"/>
      <c r="H139" s="173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</row>
    <row r="140" ht="12.75" customHeight="1">
      <c r="A140" s="253"/>
      <c r="B140" s="254"/>
      <c r="C140" s="253"/>
      <c r="D140" s="253"/>
      <c r="E140" s="254"/>
      <c r="F140" s="253"/>
      <c r="G140" s="253"/>
      <c r="H140" s="173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</row>
    <row r="141" ht="12.75" customHeight="1">
      <c r="A141" s="253"/>
      <c r="B141" s="254"/>
      <c r="C141" s="253"/>
      <c r="D141" s="253"/>
      <c r="E141" s="254"/>
      <c r="F141" s="253"/>
      <c r="G141" s="253"/>
      <c r="H141" s="173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</row>
    <row r="142" ht="12.75" customHeight="1">
      <c r="A142" s="253"/>
      <c r="B142" s="254"/>
      <c r="C142" s="253"/>
      <c r="D142" s="253"/>
      <c r="E142" s="254"/>
      <c r="F142" s="253"/>
      <c r="G142" s="253"/>
      <c r="H142" s="173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</row>
    <row r="143" ht="12.75" customHeight="1">
      <c r="A143" s="253"/>
      <c r="B143" s="254"/>
      <c r="C143" s="253"/>
      <c r="D143" s="253"/>
      <c r="E143" s="254"/>
      <c r="F143" s="253"/>
      <c r="G143" s="253"/>
      <c r="H143" s="173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</row>
    <row r="144" ht="12.75" customHeight="1">
      <c r="A144" s="253"/>
      <c r="B144" s="254"/>
      <c r="C144" s="253"/>
      <c r="D144" s="253"/>
      <c r="E144" s="254"/>
      <c r="F144" s="253"/>
      <c r="G144" s="253"/>
      <c r="H144" s="173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</row>
    <row r="145" ht="12.75" customHeight="1">
      <c r="A145" s="253"/>
      <c r="B145" s="254"/>
      <c r="C145" s="253"/>
      <c r="D145" s="253"/>
      <c r="E145" s="254"/>
      <c r="F145" s="253"/>
      <c r="G145" s="253"/>
      <c r="H145" s="173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</row>
    <row r="146" ht="12.75" customHeight="1">
      <c r="A146" s="253"/>
      <c r="B146" s="254"/>
      <c r="C146" s="253"/>
      <c r="D146" s="253"/>
      <c r="E146" s="254"/>
      <c r="F146" s="253"/>
      <c r="G146" s="253"/>
      <c r="H146" s="173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</row>
    <row r="147" ht="12.75" customHeight="1">
      <c r="A147" s="253"/>
      <c r="B147" s="254"/>
      <c r="C147" s="253"/>
      <c r="D147" s="253"/>
      <c r="E147" s="254"/>
      <c r="F147" s="253"/>
      <c r="G147" s="253"/>
      <c r="H147" s="173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</row>
    <row r="148" ht="12.75" customHeight="1">
      <c r="A148" s="253"/>
      <c r="B148" s="254"/>
      <c r="C148" s="253"/>
      <c r="D148" s="253"/>
      <c r="E148" s="254"/>
      <c r="F148" s="253"/>
      <c r="G148" s="253"/>
      <c r="H148" s="173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</row>
    <row r="149" ht="12.75" customHeight="1">
      <c r="A149" s="253"/>
      <c r="B149" s="254"/>
      <c r="C149" s="253"/>
      <c r="D149" s="253"/>
      <c r="E149" s="254"/>
      <c r="F149" s="253"/>
      <c r="G149" s="253"/>
      <c r="H149" s="173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</row>
    <row r="150" ht="12.75" customHeight="1">
      <c r="A150" s="253"/>
      <c r="B150" s="254"/>
      <c r="C150" s="253"/>
      <c r="D150" s="253"/>
      <c r="E150" s="254"/>
      <c r="F150" s="253"/>
      <c r="G150" s="253"/>
      <c r="H150" s="173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</row>
    <row r="151" ht="12.75" customHeight="1">
      <c r="A151" s="253"/>
      <c r="B151" s="254"/>
      <c r="C151" s="253"/>
      <c r="D151" s="253"/>
      <c r="E151" s="254"/>
      <c r="F151" s="253"/>
      <c r="G151" s="253"/>
      <c r="H151" s="173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</row>
    <row r="152" ht="12.75" customHeight="1">
      <c r="A152" s="253"/>
      <c r="B152" s="254"/>
      <c r="C152" s="253"/>
      <c r="D152" s="253"/>
      <c r="E152" s="254"/>
      <c r="F152" s="253"/>
      <c r="G152" s="253"/>
      <c r="H152" s="173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ht="12.75" customHeight="1">
      <c r="A153" s="253"/>
      <c r="B153" s="254"/>
      <c r="C153" s="253"/>
      <c r="D153" s="253"/>
      <c r="E153" s="254"/>
      <c r="F153" s="253"/>
      <c r="G153" s="253"/>
      <c r="H153" s="173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</row>
    <row r="154" ht="12.75" customHeight="1">
      <c r="A154" s="253"/>
      <c r="B154" s="254"/>
      <c r="C154" s="253"/>
      <c r="D154" s="253"/>
      <c r="E154" s="254"/>
      <c r="F154" s="253"/>
      <c r="G154" s="253"/>
      <c r="H154" s="173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</row>
    <row r="155" ht="12.75" customHeight="1">
      <c r="A155" s="253"/>
      <c r="B155" s="254"/>
      <c r="C155" s="253"/>
      <c r="D155" s="253"/>
      <c r="E155" s="254"/>
      <c r="F155" s="253"/>
      <c r="G155" s="253"/>
      <c r="H155" s="173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</row>
    <row r="156" ht="12.75" customHeight="1">
      <c r="A156" s="253"/>
      <c r="B156" s="254"/>
      <c r="C156" s="253"/>
      <c r="D156" s="253"/>
      <c r="E156" s="254"/>
      <c r="F156" s="253"/>
      <c r="G156" s="253"/>
      <c r="H156" s="173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</row>
    <row r="157" ht="12.75" customHeight="1">
      <c r="A157" s="253"/>
      <c r="B157" s="254"/>
      <c r="C157" s="253"/>
      <c r="D157" s="253"/>
      <c r="E157" s="254"/>
      <c r="F157" s="253"/>
      <c r="G157" s="253"/>
      <c r="H157" s="173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</row>
    <row r="158" ht="12.75" customHeight="1">
      <c r="A158" s="253"/>
      <c r="B158" s="254"/>
      <c r="C158" s="253"/>
      <c r="D158" s="253"/>
      <c r="E158" s="254"/>
      <c r="F158" s="253"/>
      <c r="G158" s="253"/>
      <c r="H158" s="173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</row>
    <row r="159" ht="12.75" customHeight="1">
      <c r="A159" s="253"/>
      <c r="B159" s="254"/>
      <c r="C159" s="253"/>
      <c r="D159" s="253"/>
      <c r="E159" s="254"/>
      <c r="F159" s="253"/>
      <c r="G159" s="253"/>
      <c r="H159" s="173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</row>
    <row r="160" ht="12.75" customHeight="1">
      <c r="A160" s="253"/>
      <c r="B160" s="254"/>
      <c r="C160" s="253"/>
      <c r="D160" s="253"/>
      <c r="E160" s="254"/>
      <c r="F160" s="253"/>
      <c r="G160" s="253"/>
      <c r="H160" s="173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ht="12.75" customHeight="1">
      <c r="A161" s="253"/>
      <c r="B161" s="254"/>
      <c r="C161" s="253"/>
      <c r="D161" s="253"/>
      <c r="E161" s="254"/>
      <c r="F161" s="253"/>
      <c r="G161" s="253"/>
      <c r="H161" s="173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ht="12.75" customHeight="1">
      <c r="A162" s="253"/>
      <c r="B162" s="254"/>
      <c r="C162" s="253"/>
      <c r="D162" s="253"/>
      <c r="E162" s="254"/>
      <c r="F162" s="253"/>
      <c r="G162" s="253"/>
      <c r="H162" s="173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ht="12.75" customHeight="1">
      <c r="A163" s="253"/>
      <c r="B163" s="254"/>
      <c r="C163" s="253"/>
      <c r="D163" s="253"/>
      <c r="E163" s="254"/>
      <c r="F163" s="253"/>
      <c r="G163" s="253"/>
      <c r="H163" s="173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ht="12.75" customHeight="1">
      <c r="A164" s="253"/>
      <c r="B164" s="254"/>
      <c r="C164" s="253"/>
      <c r="D164" s="253"/>
      <c r="E164" s="254"/>
      <c r="F164" s="253"/>
      <c r="G164" s="253"/>
      <c r="H164" s="173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ht="12.75" customHeight="1">
      <c r="A165" s="253"/>
      <c r="B165" s="254"/>
      <c r="C165" s="253"/>
      <c r="D165" s="253"/>
      <c r="E165" s="254"/>
      <c r="F165" s="253"/>
      <c r="G165" s="253"/>
      <c r="H165" s="173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ht="12.75" customHeight="1">
      <c r="A166" s="253"/>
      <c r="B166" s="254"/>
      <c r="C166" s="253"/>
      <c r="D166" s="253"/>
      <c r="E166" s="254"/>
      <c r="F166" s="253"/>
      <c r="G166" s="253"/>
      <c r="H166" s="173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ht="12.75" customHeight="1">
      <c r="A167" s="253"/>
      <c r="B167" s="254"/>
      <c r="C167" s="253"/>
      <c r="D167" s="253"/>
      <c r="E167" s="254"/>
      <c r="F167" s="253"/>
      <c r="G167" s="253"/>
      <c r="H167" s="173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ht="12.75" customHeight="1">
      <c r="A168" s="253"/>
      <c r="B168" s="254"/>
      <c r="C168" s="253"/>
      <c r="D168" s="253"/>
      <c r="E168" s="254"/>
      <c r="F168" s="253"/>
      <c r="G168" s="253"/>
      <c r="H168" s="173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ht="12.75" customHeight="1">
      <c r="A169" s="253"/>
      <c r="B169" s="254"/>
      <c r="C169" s="253"/>
      <c r="D169" s="253"/>
      <c r="E169" s="254"/>
      <c r="F169" s="253"/>
      <c r="G169" s="253"/>
      <c r="H169" s="173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ht="12.75" customHeight="1">
      <c r="A170" s="253"/>
      <c r="B170" s="254"/>
      <c r="C170" s="253"/>
      <c r="D170" s="253"/>
      <c r="E170" s="254"/>
      <c r="F170" s="253"/>
      <c r="G170" s="253"/>
      <c r="H170" s="173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ht="12.75" customHeight="1">
      <c r="A171" s="253"/>
      <c r="B171" s="254"/>
      <c r="C171" s="253"/>
      <c r="D171" s="253"/>
      <c r="E171" s="254"/>
      <c r="F171" s="253"/>
      <c r="G171" s="253"/>
      <c r="H171" s="173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ht="12.75" customHeight="1">
      <c r="A172" s="253"/>
      <c r="B172" s="254"/>
      <c r="C172" s="253"/>
      <c r="D172" s="253"/>
      <c r="E172" s="254"/>
      <c r="F172" s="253"/>
      <c r="G172" s="253"/>
      <c r="H172" s="173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ht="12.75" customHeight="1">
      <c r="A173" s="253"/>
      <c r="B173" s="254"/>
      <c r="C173" s="253"/>
      <c r="D173" s="253"/>
      <c r="E173" s="254"/>
      <c r="F173" s="253"/>
      <c r="G173" s="253"/>
      <c r="H173" s="173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ht="12.75" customHeight="1">
      <c r="A174" s="253"/>
      <c r="B174" s="254"/>
      <c r="C174" s="253"/>
      <c r="D174" s="253"/>
      <c r="E174" s="254"/>
      <c r="F174" s="253"/>
      <c r="G174" s="253"/>
      <c r="H174" s="173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ht="12.75" customHeight="1">
      <c r="A175" s="253"/>
      <c r="B175" s="254"/>
      <c r="C175" s="253"/>
      <c r="D175" s="253"/>
      <c r="E175" s="254"/>
      <c r="F175" s="253"/>
      <c r="G175" s="253"/>
      <c r="H175" s="173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ht="12.75" customHeight="1">
      <c r="A176" s="253"/>
      <c r="B176" s="254"/>
      <c r="C176" s="253"/>
      <c r="D176" s="253"/>
      <c r="E176" s="254"/>
      <c r="F176" s="253"/>
      <c r="G176" s="253"/>
      <c r="H176" s="173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ht="12.75" customHeight="1">
      <c r="A177" s="253"/>
      <c r="B177" s="254"/>
      <c r="C177" s="253"/>
      <c r="D177" s="253"/>
      <c r="E177" s="254"/>
      <c r="F177" s="253"/>
      <c r="G177" s="253"/>
      <c r="H177" s="173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ht="12.75" customHeight="1">
      <c r="A178" s="253"/>
      <c r="B178" s="254"/>
      <c r="C178" s="253"/>
      <c r="D178" s="253"/>
      <c r="E178" s="254"/>
      <c r="F178" s="253"/>
      <c r="G178" s="253"/>
      <c r="H178" s="173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ht="12.75" customHeight="1">
      <c r="A179" s="253"/>
      <c r="B179" s="254"/>
      <c r="C179" s="253"/>
      <c r="D179" s="253"/>
      <c r="E179" s="254"/>
      <c r="F179" s="253"/>
      <c r="G179" s="253"/>
      <c r="H179" s="173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ht="12.75" customHeight="1">
      <c r="A180" s="253"/>
      <c r="B180" s="254"/>
      <c r="C180" s="253"/>
      <c r="D180" s="253"/>
      <c r="E180" s="254"/>
      <c r="F180" s="253"/>
      <c r="G180" s="253"/>
      <c r="H180" s="173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ht="12.75" customHeight="1">
      <c r="A181" s="253"/>
      <c r="B181" s="254"/>
      <c r="C181" s="253"/>
      <c r="D181" s="253"/>
      <c r="E181" s="254"/>
      <c r="F181" s="253"/>
      <c r="G181" s="253"/>
      <c r="H181" s="173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ht="12.75" customHeight="1">
      <c r="A182" s="253"/>
      <c r="B182" s="254"/>
      <c r="C182" s="253"/>
      <c r="D182" s="253"/>
      <c r="E182" s="254"/>
      <c r="F182" s="253"/>
      <c r="G182" s="253"/>
      <c r="H182" s="173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ht="12.75" customHeight="1">
      <c r="A183" s="253"/>
      <c r="B183" s="254"/>
      <c r="C183" s="253"/>
      <c r="D183" s="253"/>
      <c r="E183" s="254"/>
      <c r="F183" s="253"/>
      <c r="G183" s="253"/>
      <c r="H183" s="173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</row>
    <row r="184" ht="12.75" customHeight="1">
      <c r="A184" s="253"/>
      <c r="B184" s="254"/>
      <c r="C184" s="253"/>
      <c r="D184" s="253"/>
      <c r="E184" s="254"/>
      <c r="F184" s="253"/>
      <c r="G184" s="253"/>
      <c r="H184" s="173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</row>
    <row r="185" ht="12.75" customHeight="1">
      <c r="A185" s="253"/>
      <c r="B185" s="254"/>
      <c r="C185" s="253"/>
      <c r="D185" s="253"/>
      <c r="E185" s="254"/>
      <c r="F185" s="253"/>
      <c r="G185" s="253"/>
      <c r="H185" s="173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</row>
    <row r="186" ht="12.75" customHeight="1">
      <c r="A186" s="253"/>
      <c r="B186" s="254"/>
      <c r="C186" s="253"/>
      <c r="D186" s="253"/>
      <c r="E186" s="254"/>
      <c r="F186" s="253"/>
      <c r="G186" s="253"/>
      <c r="H186" s="173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ht="12.75" customHeight="1">
      <c r="A187" s="253"/>
      <c r="B187" s="254"/>
      <c r="C187" s="253"/>
      <c r="D187" s="253"/>
      <c r="E187" s="254"/>
      <c r="F187" s="253"/>
      <c r="G187" s="253"/>
      <c r="H187" s="173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ht="12.75" customHeight="1">
      <c r="A188" s="253"/>
      <c r="B188" s="254"/>
      <c r="C188" s="253"/>
      <c r="D188" s="253"/>
      <c r="E188" s="254"/>
      <c r="F188" s="253"/>
      <c r="G188" s="253"/>
      <c r="H188" s="173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ht="12.75" customHeight="1">
      <c r="A189" s="253"/>
      <c r="B189" s="254"/>
      <c r="C189" s="253"/>
      <c r="D189" s="253"/>
      <c r="E189" s="254"/>
      <c r="F189" s="253"/>
      <c r="G189" s="253"/>
      <c r="H189" s="173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ht="12.75" customHeight="1">
      <c r="A190" s="253"/>
      <c r="B190" s="254"/>
      <c r="C190" s="253"/>
      <c r="D190" s="253"/>
      <c r="E190" s="254"/>
      <c r="F190" s="253"/>
      <c r="G190" s="253"/>
      <c r="H190" s="173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ht="12.75" customHeight="1">
      <c r="A191" s="253"/>
      <c r="B191" s="254"/>
      <c r="C191" s="253"/>
      <c r="D191" s="253"/>
      <c r="E191" s="254"/>
      <c r="F191" s="253"/>
      <c r="G191" s="253"/>
      <c r="H191" s="173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ht="12.75" customHeight="1">
      <c r="A192" s="253"/>
      <c r="B192" s="254"/>
      <c r="C192" s="253"/>
      <c r="D192" s="253"/>
      <c r="E192" s="254"/>
      <c r="F192" s="253"/>
      <c r="G192" s="253"/>
      <c r="H192" s="173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ht="12.75" customHeight="1">
      <c r="A193" s="253"/>
      <c r="B193" s="254"/>
      <c r="C193" s="253"/>
      <c r="D193" s="253"/>
      <c r="E193" s="254"/>
      <c r="F193" s="253"/>
      <c r="G193" s="253"/>
      <c r="H193" s="173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ht="12.75" customHeight="1">
      <c r="A194" s="253"/>
      <c r="B194" s="254"/>
      <c r="C194" s="253"/>
      <c r="D194" s="253"/>
      <c r="E194" s="254"/>
      <c r="F194" s="253"/>
      <c r="G194" s="253"/>
      <c r="H194" s="173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ht="12.75" customHeight="1">
      <c r="A195" s="253"/>
      <c r="B195" s="254"/>
      <c r="C195" s="253"/>
      <c r="D195" s="253"/>
      <c r="E195" s="254"/>
      <c r="F195" s="253"/>
      <c r="G195" s="253"/>
      <c r="H195" s="173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ht="12.75" customHeight="1">
      <c r="A196" s="253"/>
      <c r="B196" s="254"/>
      <c r="C196" s="253"/>
      <c r="D196" s="253"/>
      <c r="E196" s="254"/>
      <c r="F196" s="253"/>
      <c r="G196" s="253"/>
      <c r="H196" s="173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ht="12.75" customHeight="1">
      <c r="A197" s="253"/>
      <c r="B197" s="254"/>
      <c r="C197" s="253"/>
      <c r="D197" s="253"/>
      <c r="E197" s="254"/>
      <c r="F197" s="253"/>
      <c r="G197" s="253"/>
      <c r="H197" s="173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ht="12.75" customHeight="1">
      <c r="A198" s="253"/>
      <c r="B198" s="254"/>
      <c r="C198" s="253"/>
      <c r="D198" s="253"/>
      <c r="E198" s="254"/>
      <c r="F198" s="253"/>
      <c r="G198" s="253"/>
      <c r="H198" s="173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ht="12.75" customHeight="1">
      <c r="A199" s="253"/>
      <c r="B199" s="254"/>
      <c r="C199" s="253"/>
      <c r="D199" s="253"/>
      <c r="E199" s="254"/>
      <c r="F199" s="253"/>
      <c r="G199" s="253"/>
      <c r="H199" s="173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ht="12.75" customHeight="1">
      <c r="A200" s="253"/>
      <c r="B200" s="254"/>
      <c r="C200" s="253"/>
      <c r="D200" s="253"/>
      <c r="E200" s="254"/>
      <c r="F200" s="253"/>
      <c r="G200" s="253"/>
      <c r="H200" s="173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ht="12.75" customHeight="1">
      <c r="A201" s="253"/>
      <c r="B201" s="254"/>
      <c r="C201" s="253"/>
      <c r="D201" s="253"/>
      <c r="E201" s="254"/>
      <c r="F201" s="253"/>
      <c r="G201" s="253"/>
      <c r="H201" s="173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ht="12.75" customHeight="1">
      <c r="A202" s="253"/>
      <c r="B202" s="254"/>
      <c r="C202" s="253"/>
      <c r="D202" s="253"/>
      <c r="E202" s="254"/>
      <c r="F202" s="253"/>
      <c r="G202" s="253"/>
      <c r="H202" s="173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ht="12.75" customHeight="1">
      <c r="A203" s="253"/>
      <c r="B203" s="254"/>
      <c r="C203" s="253"/>
      <c r="D203" s="253"/>
      <c r="E203" s="254"/>
      <c r="F203" s="253"/>
      <c r="G203" s="253"/>
      <c r="H203" s="173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ht="12.75" customHeight="1">
      <c r="A204" s="253"/>
      <c r="B204" s="254"/>
      <c r="C204" s="253"/>
      <c r="D204" s="253"/>
      <c r="E204" s="254"/>
      <c r="F204" s="253"/>
      <c r="G204" s="253"/>
      <c r="H204" s="173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ht="12.75" customHeight="1">
      <c r="A205" s="253"/>
      <c r="B205" s="254"/>
      <c r="C205" s="253"/>
      <c r="D205" s="253"/>
      <c r="E205" s="254"/>
      <c r="F205" s="253"/>
      <c r="G205" s="253"/>
      <c r="H205" s="173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ht="12.75" customHeight="1">
      <c r="A206" s="253"/>
      <c r="B206" s="254"/>
      <c r="C206" s="253"/>
      <c r="D206" s="253"/>
      <c r="E206" s="254"/>
      <c r="F206" s="253"/>
      <c r="G206" s="253"/>
      <c r="H206" s="173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ht="12.75" customHeight="1">
      <c r="A207" s="253"/>
      <c r="B207" s="254"/>
      <c r="C207" s="253"/>
      <c r="D207" s="253"/>
      <c r="E207" s="254"/>
      <c r="F207" s="253"/>
      <c r="G207" s="253"/>
      <c r="H207" s="173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ht="12.75" customHeight="1">
      <c r="A208" s="253"/>
      <c r="B208" s="254"/>
      <c r="C208" s="253"/>
      <c r="D208" s="253"/>
      <c r="E208" s="254"/>
      <c r="F208" s="253"/>
      <c r="G208" s="253"/>
      <c r="H208" s="173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ht="12.75" customHeight="1">
      <c r="A209" s="253"/>
      <c r="B209" s="254"/>
      <c r="C209" s="253"/>
      <c r="D209" s="253"/>
      <c r="E209" s="254"/>
      <c r="F209" s="253"/>
      <c r="G209" s="253"/>
      <c r="H209" s="173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ht="12.75" customHeight="1">
      <c r="A210" s="253"/>
      <c r="B210" s="254"/>
      <c r="C210" s="253"/>
      <c r="D210" s="253"/>
      <c r="E210" s="254"/>
      <c r="F210" s="253"/>
      <c r="G210" s="253"/>
      <c r="H210" s="173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ht="12.75" customHeight="1">
      <c r="A211" s="253"/>
      <c r="B211" s="254"/>
      <c r="C211" s="253"/>
      <c r="D211" s="253"/>
      <c r="E211" s="254"/>
      <c r="F211" s="253"/>
      <c r="G211" s="253"/>
      <c r="H211" s="173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ht="12.75" customHeight="1">
      <c r="A212" s="253"/>
      <c r="B212" s="254"/>
      <c r="C212" s="253"/>
      <c r="D212" s="253"/>
      <c r="E212" s="254"/>
      <c r="F212" s="253"/>
      <c r="G212" s="253"/>
      <c r="H212" s="173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</row>
    <row r="213" ht="12.75" customHeight="1">
      <c r="A213" s="253"/>
      <c r="B213" s="254"/>
      <c r="C213" s="253"/>
      <c r="D213" s="253"/>
      <c r="E213" s="254"/>
      <c r="F213" s="253"/>
      <c r="G213" s="253"/>
      <c r="H213" s="173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</row>
    <row r="214" ht="12.75" customHeight="1">
      <c r="A214" s="253"/>
      <c r="B214" s="254"/>
      <c r="C214" s="253"/>
      <c r="D214" s="253"/>
      <c r="E214" s="254"/>
      <c r="F214" s="253"/>
      <c r="G214" s="253"/>
      <c r="H214" s="173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</row>
    <row r="215" ht="12.75" customHeight="1">
      <c r="A215" s="253"/>
      <c r="B215" s="254"/>
      <c r="C215" s="253"/>
      <c r="D215" s="253"/>
      <c r="E215" s="254"/>
      <c r="F215" s="253"/>
      <c r="G215" s="253"/>
      <c r="H215" s="173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</row>
    <row r="216" ht="12.75" customHeight="1">
      <c r="A216" s="253"/>
      <c r="B216" s="254"/>
      <c r="C216" s="253"/>
      <c r="D216" s="253"/>
      <c r="E216" s="254"/>
      <c r="F216" s="253"/>
      <c r="G216" s="253"/>
      <c r="H216" s="173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</row>
    <row r="217" ht="12.75" customHeight="1">
      <c r="A217" s="253"/>
      <c r="B217" s="254"/>
      <c r="C217" s="253"/>
      <c r="D217" s="253"/>
      <c r="E217" s="254"/>
      <c r="F217" s="253"/>
      <c r="G217" s="253"/>
      <c r="H217" s="173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</row>
    <row r="218" ht="12.75" customHeight="1">
      <c r="A218" s="253"/>
      <c r="B218" s="254"/>
      <c r="C218" s="253"/>
      <c r="D218" s="253"/>
      <c r="E218" s="254"/>
      <c r="F218" s="253"/>
      <c r="G218" s="253"/>
      <c r="H218" s="173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</row>
    <row r="219" ht="12.75" customHeight="1">
      <c r="A219" s="253"/>
      <c r="B219" s="254"/>
      <c r="C219" s="253"/>
      <c r="D219" s="253"/>
      <c r="E219" s="254"/>
      <c r="F219" s="253"/>
      <c r="G219" s="253"/>
      <c r="H219" s="173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ht="12.75" customHeight="1">
      <c r="A220" s="253"/>
      <c r="B220" s="254"/>
      <c r="C220" s="253"/>
      <c r="D220" s="253"/>
      <c r="E220" s="254"/>
      <c r="F220" s="253"/>
      <c r="G220" s="253"/>
      <c r="H220" s="173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</row>
    <row r="221" ht="12.75" customHeight="1">
      <c r="A221" s="253"/>
      <c r="B221" s="254"/>
      <c r="C221" s="253"/>
      <c r="D221" s="253"/>
      <c r="E221" s="254"/>
      <c r="F221" s="253"/>
      <c r="G221" s="253"/>
      <c r="H221" s="173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</row>
    <row r="222" ht="12.75" customHeight="1">
      <c r="A222" s="253"/>
      <c r="B222" s="254"/>
      <c r="C222" s="253"/>
      <c r="D222" s="253"/>
      <c r="E222" s="254"/>
      <c r="F222" s="253"/>
      <c r="G222" s="253"/>
      <c r="H222" s="173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</row>
    <row r="223" ht="12.75" customHeight="1">
      <c r="A223" s="253"/>
      <c r="B223" s="254"/>
      <c r="C223" s="253"/>
      <c r="D223" s="253"/>
      <c r="E223" s="254"/>
      <c r="F223" s="253"/>
      <c r="G223" s="253"/>
      <c r="H223" s="173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</row>
    <row r="224" ht="12.75" customHeight="1">
      <c r="A224" s="253"/>
      <c r="B224" s="254"/>
      <c r="C224" s="253"/>
      <c r="D224" s="253"/>
      <c r="E224" s="254"/>
      <c r="F224" s="253"/>
      <c r="G224" s="253"/>
      <c r="H224" s="173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</row>
    <row r="225" ht="12.75" customHeight="1">
      <c r="A225" s="253"/>
      <c r="B225" s="254"/>
      <c r="C225" s="253"/>
      <c r="D225" s="253"/>
      <c r="E225" s="254"/>
      <c r="F225" s="253"/>
      <c r="G225" s="253"/>
      <c r="H225" s="173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</row>
    <row r="226" ht="12.75" customHeight="1">
      <c r="A226" s="253"/>
      <c r="B226" s="254"/>
      <c r="C226" s="253"/>
      <c r="D226" s="253"/>
      <c r="E226" s="254"/>
      <c r="F226" s="253"/>
      <c r="G226" s="253"/>
      <c r="H226" s="173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</row>
    <row r="227" ht="12.75" customHeight="1">
      <c r="A227" s="253"/>
      <c r="B227" s="254"/>
      <c r="C227" s="253"/>
      <c r="D227" s="253"/>
      <c r="E227" s="254"/>
      <c r="F227" s="253"/>
      <c r="G227" s="253"/>
      <c r="H227" s="173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</row>
    <row r="228" ht="12.75" customHeight="1">
      <c r="A228" s="253"/>
      <c r="B228" s="254"/>
      <c r="C228" s="253"/>
      <c r="D228" s="253"/>
      <c r="E228" s="254"/>
      <c r="F228" s="253"/>
      <c r="G228" s="253"/>
      <c r="H228" s="173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</row>
    <row r="229" ht="12.75" customHeight="1">
      <c r="A229" s="253"/>
      <c r="B229" s="254"/>
      <c r="C229" s="253"/>
      <c r="D229" s="253"/>
      <c r="E229" s="254"/>
      <c r="F229" s="253"/>
      <c r="G229" s="253"/>
      <c r="H229" s="173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</row>
    <row r="230" ht="12.75" customHeight="1">
      <c r="A230" s="253"/>
      <c r="B230" s="254"/>
      <c r="C230" s="253"/>
      <c r="D230" s="253"/>
      <c r="E230" s="254"/>
      <c r="F230" s="253"/>
      <c r="G230" s="253"/>
      <c r="H230" s="173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ht="12.75" customHeight="1">
      <c r="A231" s="253"/>
      <c r="B231" s="254"/>
      <c r="C231" s="253"/>
      <c r="D231" s="253"/>
      <c r="E231" s="254"/>
      <c r="F231" s="253"/>
      <c r="G231" s="253"/>
      <c r="H231" s="173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</row>
    <row r="232" ht="12.75" customHeight="1">
      <c r="A232" s="253"/>
      <c r="B232" s="254"/>
      <c r="C232" s="253"/>
      <c r="D232" s="253"/>
      <c r="E232" s="254"/>
      <c r="F232" s="253"/>
      <c r="G232" s="253"/>
      <c r="H232" s="173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</row>
    <row r="233" ht="12.75" customHeight="1">
      <c r="A233" s="253"/>
      <c r="B233" s="254"/>
      <c r="C233" s="253"/>
      <c r="D233" s="253"/>
      <c r="E233" s="254"/>
      <c r="F233" s="253"/>
      <c r="G233" s="253"/>
      <c r="H233" s="173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</row>
    <row r="234" ht="12.75" customHeight="1">
      <c r="A234" s="253"/>
      <c r="B234" s="254"/>
      <c r="C234" s="253"/>
      <c r="D234" s="253"/>
      <c r="E234" s="254"/>
      <c r="F234" s="253"/>
      <c r="G234" s="253"/>
      <c r="H234" s="173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</row>
    <row r="235" ht="12.75" customHeight="1">
      <c r="A235" s="253"/>
      <c r="B235" s="254"/>
      <c r="C235" s="253"/>
      <c r="D235" s="253"/>
      <c r="E235" s="254"/>
      <c r="F235" s="253"/>
      <c r="G235" s="253"/>
      <c r="H235" s="173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</row>
    <row r="236" ht="12.75" customHeight="1">
      <c r="A236" s="253"/>
      <c r="B236" s="254"/>
      <c r="C236" s="253"/>
      <c r="D236" s="253"/>
      <c r="E236" s="254"/>
      <c r="F236" s="253"/>
      <c r="G236" s="253"/>
      <c r="H236" s="173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</row>
    <row r="237" ht="12.75" customHeight="1">
      <c r="A237" s="253"/>
      <c r="B237" s="254"/>
      <c r="C237" s="253"/>
      <c r="D237" s="253"/>
      <c r="E237" s="254"/>
      <c r="F237" s="253"/>
      <c r="G237" s="253"/>
      <c r="H237" s="173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</row>
    <row r="238" ht="12.75" customHeight="1">
      <c r="A238" s="253"/>
      <c r="B238" s="254"/>
      <c r="C238" s="253"/>
      <c r="D238" s="253"/>
      <c r="E238" s="254"/>
      <c r="F238" s="253"/>
      <c r="G238" s="253"/>
      <c r="H238" s="173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</row>
    <row r="239" ht="12.75" customHeight="1">
      <c r="A239" s="253"/>
      <c r="B239" s="254"/>
      <c r="C239" s="253"/>
      <c r="D239" s="253"/>
      <c r="E239" s="254"/>
      <c r="F239" s="253"/>
      <c r="G239" s="253"/>
      <c r="H239" s="173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</row>
    <row r="240" ht="12.75" customHeight="1">
      <c r="A240" s="253"/>
      <c r="B240" s="254"/>
      <c r="C240" s="253"/>
      <c r="D240" s="253"/>
      <c r="E240" s="254"/>
      <c r="F240" s="253"/>
      <c r="G240" s="253"/>
      <c r="H240" s="173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</row>
    <row r="241" ht="12.75" customHeight="1">
      <c r="A241" s="253"/>
      <c r="B241" s="254"/>
      <c r="C241" s="253"/>
      <c r="D241" s="253"/>
      <c r="E241" s="254"/>
      <c r="F241" s="253"/>
      <c r="G241" s="253"/>
      <c r="H241" s="173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</row>
    <row r="242" ht="12.75" customHeight="1">
      <c r="A242" s="253"/>
      <c r="B242" s="254"/>
      <c r="C242" s="253"/>
      <c r="D242" s="253"/>
      <c r="E242" s="254"/>
      <c r="F242" s="253"/>
      <c r="G242" s="253"/>
      <c r="H242" s="173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ht="12.75" customHeight="1">
      <c r="A243" s="253"/>
      <c r="B243" s="254"/>
      <c r="C243" s="253"/>
      <c r="D243" s="253"/>
      <c r="E243" s="254"/>
      <c r="F243" s="253"/>
      <c r="G243" s="253"/>
      <c r="H243" s="173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</row>
    <row r="244" ht="12.75" customHeight="1">
      <c r="A244" s="253"/>
      <c r="B244" s="254"/>
      <c r="C244" s="253"/>
      <c r="D244" s="253"/>
      <c r="E244" s="254"/>
      <c r="F244" s="253"/>
      <c r="G244" s="253"/>
      <c r="H244" s="173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</row>
    <row r="245" ht="12.75" customHeight="1">
      <c r="A245" s="253"/>
      <c r="B245" s="254"/>
      <c r="C245" s="253"/>
      <c r="D245" s="253"/>
      <c r="E245" s="254"/>
      <c r="F245" s="253"/>
      <c r="G245" s="253"/>
      <c r="H245" s="173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</row>
    <row r="246" ht="12.75" customHeight="1">
      <c r="A246" s="253"/>
      <c r="B246" s="254"/>
      <c r="C246" s="253"/>
      <c r="D246" s="253"/>
      <c r="E246" s="254"/>
      <c r="F246" s="253"/>
      <c r="G246" s="253"/>
      <c r="H246" s="173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</row>
    <row r="247" ht="12.75" customHeight="1">
      <c r="A247" s="253"/>
      <c r="B247" s="254"/>
      <c r="C247" s="253"/>
      <c r="D247" s="253"/>
      <c r="E247" s="254"/>
      <c r="F247" s="253"/>
      <c r="G247" s="253"/>
      <c r="H247" s="173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</row>
    <row r="248" ht="12.75" customHeight="1">
      <c r="A248" s="253"/>
      <c r="B248" s="254"/>
      <c r="C248" s="253"/>
      <c r="D248" s="253"/>
      <c r="E248" s="254"/>
      <c r="F248" s="253"/>
      <c r="G248" s="253"/>
      <c r="H248" s="173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</row>
    <row r="249" ht="12.75" customHeight="1">
      <c r="A249" s="253"/>
      <c r="B249" s="254"/>
      <c r="C249" s="253"/>
      <c r="D249" s="253"/>
      <c r="E249" s="254"/>
      <c r="F249" s="253"/>
      <c r="G249" s="253"/>
      <c r="H249" s="173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</row>
    <row r="250" ht="12.75" customHeight="1">
      <c r="A250" s="253"/>
      <c r="B250" s="254"/>
      <c r="C250" s="253"/>
      <c r="D250" s="253"/>
      <c r="E250" s="254"/>
      <c r="F250" s="253"/>
      <c r="G250" s="253"/>
      <c r="H250" s="173"/>
      <c r="I250" s="174"/>
      <c r="J250" s="174"/>
      <c r="K250" s="174"/>
      <c r="L250" s="174"/>
      <c r="M250" s="174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</row>
    <row r="251" ht="12.75" customHeight="1">
      <c r="A251" s="253"/>
      <c r="B251" s="254"/>
      <c r="C251" s="253"/>
      <c r="D251" s="253"/>
      <c r="E251" s="254"/>
      <c r="F251" s="253"/>
      <c r="G251" s="253"/>
      <c r="H251" s="173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</row>
    <row r="252" ht="12.75" customHeight="1">
      <c r="A252" s="253"/>
      <c r="B252" s="254"/>
      <c r="C252" s="253"/>
      <c r="D252" s="253"/>
      <c r="E252" s="254"/>
      <c r="F252" s="253"/>
      <c r="G252" s="253"/>
      <c r="H252" s="173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</row>
    <row r="253" ht="12.75" customHeight="1">
      <c r="A253" s="253"/>
      <c r="B253" s="254"/>
      <c r="C253" s="253"/>
      <c r="D253" s="253"/>
      <c r="E253" s="254"/>
      <c r="F253" s="253"/>
      <c r="G253" s="253"/>
      <c r="H253" s="173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</row>
    <row r="254" ht="12.75" customHeight="1">
      <c r="A254" s="253"/>
      <c r="B254" s="254"/>
      <c r="C254" s="253"/>
      <c r="D254" s="253"/>
      <c r="E254" s="254"/>
      <c r="F254" s="253"/>
      <c r="G254" s="253"/>
      <c r="H254" s="173"/>
      <c r="I254" s="174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</row>
    <row r="255" ht="12.75" customHeight="1">
      <c r="A255" s="253"/>
      <c r="B255" s="254"/>
      <c r="C255" s="253"/>
      <c r="D255" s="253"/>
      <c r="E255" s="254"/>
      <c r="F255" s="253"/>
      <c r="G255" s="253"/>
      <c r="H255" s="173"/>
      <c r="I255" s="174"/>
      <c r="J255" s="174"/>
      <c r="K255" s="174"/>
      <c r="L255" s="174"/>
      <c r="M255" s="174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</row>
    <row r="256" ht="12.75" customHeight="1">
      <c r="A256" s="253"/>
      <c r="B256" s="254"/>
      <c r="C256" s="253"/>
      <c r="D256" s="253"/>
      <c r="E256" s="254"/>
      <c r="F256" s="253"/>
      <c r="G256" s="253"/>
      <c r="H256" s="173"/>
      <c r="I256" s="174"/>
      <c r="J256" s="174"/>
      <c r="K256" s="174"/>
      <c r="L256" s="174"/>
      <c r="M256" s="174"/>
      <c r="N256" s="174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</row>
    <row r="257" ht="12.75" customHeight="1">
      <c r="A257" s="253"/>
      <c r="B257" s="254"/>
      <c r="C257" s="253"/>
      <c r="D257" s="253"/>
      <c r="E257" s="254"/>
      <c r="F257" s="253"/>
      <c r="G257" s="253"/>
      <c r="H257" s="173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ht="12.75" customHeight="1">
      <c r="A258" s="253"/>
      <c r="B258" s="254"/>
      <c r="C258" s="253"/>
      <c r="D258" s="253"/>
      <c r="E258" s="254"/>
      <c r="F258" s="253"/>
      <c r="G258" s="253"/>
      <c r="H258" s="173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</row>
    <row r="259" ht="12.75" customHeight="1">
      <c r="A259" s="253"/>
      <c r="B259" s="254"/>
      <c r="C259" s="253"/>
      <c r="D259" s="253"/>
      <c r="E259" s="254"/>
      <c r="F259" s="253"/>
      <c r="G259" s="253"/>
      <c r="H259" s="173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</row>
    <row r="260" ht="12.75" customHeight="1">
      <c r="A260" s="253"/>
      <c r="B260" s="254"/>
      <c r="C260" s="253"/>
      <c r="D260" s="253"/>
      <c r="E260" s="254"/>
      <c r="F260" s="253"/>
      <c r="G260" s="253"/>
      <c r="H260" s="173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</row>
    <row r="261" ht="12.75" customHeight="1">
      <c r="A261" s="253"/>
      <c r="B261" s="254"/>
      <c r="C261" s="253"/>
      <c r="D261" s="253"/>
      <c r="E261" s="254"/>
      <c r="F261" s="253"/>
      <c r="G261" s="253"/>
      <c r="H261" s="173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</row>
    <row r="262" ht="12.75" customHeight="1">
      <c r="A262" s="253"/>
      <c r="B262" s="254"/>
      <c r="C262" s="253"/>
      <c r="D262" s="253"/>
      <c r="E262" s="254"/>
      <c r="F262" s="253"/>
      <c r="G262" s="253"/>
      <c r="H262" s="173"/>
      <c r="I262" s="174"/>
      <c r="J262" s="174"/>
      <c r="K262" s="174"/>
      <c r="L262" s="174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</row>
    <row r="263" ht="12.75" customHeight="1">
      <c r="A263" s="253"/>
      <c r="B263" s="254"/>
      <c r="C263" s="253"/>
      <c r="D263" s="253"/>
      <c r="E263" s="254"/>
      <c r="F263" s="253"/>
      <c r="G263" s="253"/>
      <c r="H263" s="173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</row>
    <row r="264" ht="12.75" customHeight="1">
      <c r="A264" s="253"/>
      <c r="B264" s="254"/>
      <c r="C264" s="253"/>
      <c r="D264" s="253"/>
      <c r="E264" s="254"/>
      <c r="F264" s="253"/>
      <c r="G264" s="253"/>
      <c r="H264" s="173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</row>
    <row r="265" ht="12.75" customHeight="1">
      <c r="A265" s="253"/>
      <c r="B265" s="254"/>
      <c r="C265" s="253"/>
      <c r="D265" s="253"/>
      <c r="E265" s="254"/>
      <c r="F265" s="253"/>
      <c r="G265" s="253"/>
      <c r="H265" s="173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</row>
    <row r="266" ht="12.75" customHeight="1">
      <c r="A266" s="253"/>
      <c r="B266" s="254"/>
      <c r="C266" s="253"/>
      <c r="D266" s="253"/>
      <c r="E266" s="254"/>
      <c r="F266" s="253"/>
      <c r="G266" s="253"/>
      <c r="H266" s="173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ht="12.75" customHeight="1">
      <c r="A267" s="253"/>
      <c r="B267" s="254"/>
      <c r="C267" s="253"/>
      <c r="D267" s="253"/>
      <c r="E267" s="254"/>
      <c r="F267" s="253"/>
      <c r="G267" s="253"/>
      <c r="H267" s="173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</row>
    <row r="268" ht="12.75" customHeight="1">
      <c r="A268" s="253"/>
      <c r="B268" s="254"/>
      <c r="C268" s="253"/>
      <c r="D268" s="253"/>
      <c r="E268" s="254"/>
      <c r="F268" s="253"/>
      <c r="G268" s="253"/>
      <c r="H268" s="173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</row>
    <row r="269" ht="12.75" customHeight="1">
      <c r="A269" s="253"/>
      <c r="B269" s="254"/>
      <c r="C269" s="253"/>
      <c r="D269" s="253"/>
      <c r="E269" s="254"/>
      <c r="F269" s="253"/>
      <c r="G269" s="253"/>
      <c r="H269" s="173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</row>
    <row r="270" ht="12.75" customHeight="1">
      <c r="A270" s="253"/>
      <c r="B270" s="254"/>
      <c r="C270" s="253"/>
      <c r="D270" s="253"/>
      <c r="E270" s="254"/>
      <c r="F270" s="253"/>
      <c r="G270" s="253"/>
      <c r="H270" s="173"/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</row>
    <row r="271" ht="12.75" customHeight="1">
      <c r="A271" s="253"/>
      <c r="B271" s="254"/>
      <c r="C271" s="253"/>
      <c r="D271" s="253"/>
      <c r="E271" s="254"/>
      <c r="F271" s="253"/>
      <c r="G271" s="253"/>
      <c r="H271" s="173"/>
      <c r="I271" s="174"/>
      <c r="J271" s="174"/>
      <c r="K271" s="174"/>
      <c r="L271" s="174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</row>
    <row r="272" ht="12.75" customHeight="1">
      <c r="A272" s="253"/>
      <c r="B272" s="254"/>
      <c r="C272" s="253"/>
      <c r="D272" s="253"/>
      <c r="E272" s="254"/>
      <c r="F272" s="253"/>
      <c r="G272" s="253"/>
      <c r="H272" s="173"/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</row>
    <row r="273" ht="12.75" customHeight="1">
      <c r="A273" s="253"/>
      <c r="B273" s="254"/>
      <c r="C273" s="253"/>
      <c r="D273" s="253"/>
      <c r="E273" s="254"/>
      <c r="F273" s="253"/>
      <c r="G273" s="253"/>
      <c r="H273" s="173"/>
      <c r="I273" s="174"/>
      <c r="J273" s="1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</row>
    <row r="274" ht="12.75" customHeight="1">
      <c r="A274" s="253"/>
      <c r="B274" s="254"/>
      <c r="C274" s="253"/>
      <c r="D274" s="253"/>
      <c r="E274" s="254"/>
      <c r="F274" s="253"/>
      <c r="G274" s="253"/>
      <c r="H274" s="173"/>
      <c r="I274" s="174"/>
      <c r="J274" s="174"/>
      <c r="K274" s="174"/>
      <c r="L274" s="174"/>
      <c r="M274" s="174"/>
      <c r="N274" s="174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</row>
    <row r="275" ht="12.75" customHeight="1">
      <c r="A275" s="253"/>
      <c r="B275" s="254"/>
      <c r="C275" s="253"/>
      <c r="D275" s="253"/>
      <c r="E275" s="254"/>
      <c r="F275" s="253"/>
      <c r="G275" s="253"/>
      <c r="H275" s="173"/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</row>
    <row r="276" ht="12.75" customHeight="1">
      <c r="A276" s="253"/>
      <c r="B276" s="254"/>
      <c r="C276" s="253"/>
      <c r="D276" s="253"/>
      <c r="E276" s="254"/>
      <c r="F276" s="253"/>
      <c r="G276" s="253"/>
      <c r="H276" s="173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</row>
    <row r="277" ht="12.75" customHeight="1">
      <c r="A277" s="253"/>
      <c r="B277" s="254"/>
      <c r="C277" s="253"/>
      <c r="D277" s="253"/>
      <c r="E277" s="254"/>
      <c r="F277" s="253"/>
      <c r="G277" s="253"/>
      <c r="H277" s="173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</row>
    <row r="278" ht="12.75" customHeight="1">
      <c r="A278" s="253"/>
      <c r="B278" s="254"/>
      <c r="C278" s="253"/>
      <c r="D278" s="253"/>
      <c r="E278" s="254"/>
      <c r="F278" s="253"/>
      <c r="G278" s="253"/>
      <c r="H278" s="173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ht="12.75" customHeight="1">
      <c r="A279" s="253"/>
      <c r="B279" s="254"/>
      <c r="C279" s="253"/>
      <c r="D279" s="253"/>
      <c r="E279" s="254"/>
      <c r="F279" s="253"/>
      <c r="G279" s="253"/>
      <c r="H279" s="173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</row>
    <row r="280" ht="12.75" customHeight="1">
      <c r="A280" s="253"/>
      <c r="B280" s="254"/>
      <c r="C280" s="253"/>
      <c r="D280" s="253"/>
      <c r="E280" s="254"/>
      <c r="F280" s="253"/>
      <c r="G280" s="253"/>
      <c r="H280" s="173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</row>
    <row r="281" ht="12.75" customHeight="1">
      <c r="A281" s="253"/>
      <c r="B281" s="254"/>
      <c r="C281" s="253"/>
      <c r="D281" s="253"/>
      <c r="E281" s="254"/>
      <c r="F281" s="253"/>
      <c r="G281" s="253"/>
      <c r="H281" s="173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</row>
    <row r="282" ht="12.75" customHeight="1">
      <c r="A282" s="253"/>
      <c r="B282" s="254"/>
      <c r="C282" s="253"/>
      <c r="D282" s="253"/>
      <c r="E282" s="254"/>
      <c r="F282" s="253"/>
      <c r="G282" s="253"/>
      <c r="H282" s="173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</row>
    <row r="283" ht="12.75" customHeight="1">
      <c r="A283" s="253"/>
      <c r="B283" s="254"/>
      <c r="C283" s="253"/>
      <c r="D283" s="253"/>
      <c r="E283" s="254"/>
      <c r="F283" s="253"/>
      <c r="G283" s="253"/>
      <c r="H283" s="173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</row>
    <row r="284" ht="12.75" customHeight="1">
      <c r="A284" s="253"/>
      <c r="B284" s="254"/>
      <c r="C284" s="253"/>
      <c r="D284" s="253"/>
      <c r="E284" s="254"/>
      <c r="F284" s="253"/>
      <c r="G284" s="253"/>
      <c r="H284" s="173"/>
      <c r="I284" s="174"/>
      <c r="J284" s="174"/>
      <c r="K284" s="174"/>
      <c r="L284" s="174"/>
      <c r="M284" s="174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</row>
    <row r="285" ht="12.75" customHeight="1">
      <c r="A285" s="253"/>
      <c r="B285" s="254"/>
      <c r="C285" s="253"/>
      <c r="D285" s="253"/>
      <c r="E285" s="254"/>
      <c r="F285" s="253"/>
      <c r="G285" s="253"/>
      <c r="H285" s="173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</row>
    <row r="286" ht="12.75" customHeight="1">
      <c r="A286" s="253"/>
      <c r="B286" s="254"/>
      <c r="C286" s="253"/>
      <c r="D286" s="253"/>
      <c r="E286" s="254"/>
      <c r="F286" s="253"/>
      <c r="G286" s="253"/>
      <c r="H286" s="173"/>
      <c r="I286" s="174"/>
      <c r="J286" s="174"/>
      <c r="K286" s="174"/>
      <c r="L286" s="174"/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</row>
    <row r="287" ht="12.75" customHeight="1">
      <c r="A287" s="253"/>
      <c r="B287" s="254"/>
      <c r="C287" s="253"/>
      <c r="D287" s="253"/>
      <c r="E287" s="254"/>
      <c r="F287" s="253"/>
      <c r="G287" s="253"/>
      <c r="H287" s="173"/>
      <c r="I287" s="174"/>
      <c r="J287" s="174"/>
      <c r="K287" s="174"/>
      <c r="L287" s="174"/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</row>
    <row r="288" ht="12.75" customHeight="1">
      <c r="A288" s="253"/>
      <c r="B288" s="254"/>
      <c r="C288" s="253"/>
      <c r="D288" s="253"/>
      <c r="E288" s="254"/>
      <c r="F288" s="253"/>
      <c r="G288" s="253"/>
      <c r="H288" s="173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</row>
    <row r="289" ht="12.75" customHeight="1">
      <c r="A289" s="253"/>
      <c r="B289" s="254"/>
      <c r="C289" s="253"/>
      <c r="D289" s="253"/>
      <c r="E289" s="254"/>
      <c r="F289" s="253"/>
      <c r="G289" s="253"/>
      <c r="H289" s="173"/>
      <c r="I289" s="174"/>
      <c r="J289" s="174"/>
      <c r="K289" s="174"/>
      <c r="L289" s="174"/>
      <c r="M289" s="174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</row>
    <row r="290" ht="12.75" customHeight="1">
      <c r="A290" s="253"/>
      <c r="B290" s="254"/>
      <c r="C290" s="253"/>
      <c r="D290" s="253"/>
      <c r="E290" s="254"/>
      <c r="F290" s="253"/>
      <c r="G290" s="253"/>
      <c r="H290" s="173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</row>
    <row r="291" ht="12.75" customHeight="1">
      <c r="A291" s="253"/>
      <c r="B291" s="254"/>
      <c r="C291" s="253"/>
      <c r="D291" s="253"/>
      <c r="E291" s="254"/>
      <c r="F291" s="253"/>
      <c r="G291" s="253"/>
      <c r="H291" s="173"/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</row>
    <row r="292" ht="12.75" customHeight="1">
      <c r="A292" s="253"/>
      <c r="B292" s="254"/>
      <c r="C292" s="253"/>
      <c r="D292" s="253"/>
      <c r="E292" s="254"/>
      <c r="F292" s="253"/>
      <c r="G292" s="253"/>
      <c r="H292" s="173"/>
      <c r="I292" s="174"/>
      <c r="J292" s="174"/>
      <c r="K292" s="174"/>
      <c r="L292" s="174"/>
      <c r="M292" s="174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</row>
    <row r="293" ht="12.75" customHeight="1">
      <c r="A293" s="253"/>
      <c r="B293" s="254"/>
      <c r="C293" s="253"/>
      <c r="D293" s="253"/>
      <c r="E293" s="254"/>
      <c r="F293" s="253"/>
      <c r="G293" s="253"/>
      <c r="H293" s="173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ht="12.75" customHeight="1">
      <c r="A294" s="253"/>
      <c r="B294" s="254"/>
      <c r="C294" s="253"/>
      <c r="D294" s="253"/>
      <c r="E294" s="254"/>
      <c r="F294" s="253"/>
      <c r="G294" s="253"/>
      <c r="H294" s="173"/>
      <c r="I294" s="174"/>
      <c r="J294" s="174"/>
      <c r="K294" s="174"/>
      <c r="L294" s="174"/>
      <c r="M294" s="174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</row>
    <row r="295" ht="12.75" customHeight="1">
      <c r="A295" s="253"/>
      <c r="B295" s="254"/>
      <c r="C295" s="253"/>
      <c r="D295" s="253"/>
      <c r="E295" s="254"/>
      <c r="F295" s="253"/>
      <c r="G295" s="253"/>
      <c r="H295" s="173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</row>
    <row r="296" ht="12.75" customHeight="1">
      <c r="A296" s="253"/>
      <c r="B296" s="254"/>
      <c r="C296" s="253"/>
      <c r="D296" s="253"/>
      <c r="E296" s="254"/>
      <c r="F296" s="253"/>
      <c r="G296" s="253"/>
      <c r="H296" s="173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</row>
    <row r="297" ht="12.75" customHeight="1">
      <c r="A297" s="253"/>
      <c r="B297" s="254"/>
      <c r="C297" s="253"/>
      <c r="D297" s="253"/>
      <c r="E297" s="254"/>
      <c r="F297" s="253"/>
      <c r="G297" s="253"/>
      <c r="H297" s="173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</row>
    <row r="298" ht="12.75" customHeight="1">
      <c r="A298" s="253"/>
      <c r="B298" s="254"/>
      <c r="C298" s="253"/>
      <c r="D298" s="253"/>
      <c r="E298" s="254"/>
      <c r="F298" s="253"/>
      <c r="G298" s="253"/>
      <c r="H298" s="173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</row>
    <row r="299" ht="12.75" customHeight="1">
      <c r="A299" s="253"/>
      <c r="B299" s="254"/>
      <c r="C299" s="253"/>
      <c r="D299" s="253"/>
      <c r="E299" s="254"/>
      <c r="F299" s="253"/>
      <c r="G299" s="253"/>
      <c r="H299" s="173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</row>
    <row r="300" ht="12.75" customHeight="1">
      <c r="A300" s="253"/>
      <c r="B300" s="254"/>
      <c r="C300" s="253"/>
      <c r="D300" s="253"/>
      <c r="E300" s="254"/>
      <c r="F300" s="253"/>
      <c r="G300" s="253"/>
      <c r="H300" s="173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</row>
    <row r="301" ht="12.75" customHeight="1">
      <c r="A301" s="253"/>
      <c r="B301" s="254"/>
      <c r="C301" s="253"/>
      <c r="D301" s="253"/>
      <c r="E301" s="254"/>
      <c r="F301" s="253"/>
      <c r="G301" s="253"/>
      <c r="H301" s="173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</row>
    <row r="302" ht="12.75" customHeight="1">
      <c r="A302" s="253"/>
      <c r="B302" s="254"/>
      <c r="C302" s="253"/>
      <c r="D302" s="253"/>
      <c r="E302" s="254"/>
      <c r="F302" s="253"/>
      <c r="G302" s="253"/>
      <c r="H302" s="173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</row>
    <row r="303" ht="12.75" customHeight="1">
      <c r="A303" s="253"/>
      <c r="B303" s="254"/>
      <c r="C303" s="253"/>
      <c r="D303" s="253"/>
      <c r="E303" s="254"/>
      <c r="F303" s="253"/>
      <c r="G303" s="253"/>
      <c r="H303" s="173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</row>
    <row r="304" ht="12.75" customHeight="1">
      <c r="A304" s="253"/>
      <c r="B304" s="254"/>
      <c r="C304" s="253"/>
      <c r="D304" s="253"/>
      <c r="E304" s="254"/>
      <c r="F304" s="253"/>
      <c r="G304" s="253"/>
      <c r="H304" s="173"/>
      <c r="I304" s="174"/>
      <c r="J304" s="174"/>
      <c r="K304" s="174"/>
      <c r="L304" s="174"/>
      <c r="M304" s="174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ht="12.75" customHeight="1">
      <c r="A305" s="253"/>
      <c r="B305" s="254"/>
      <c r="C305" s="253"/>
      <c r="D305" s="253"/>
      <c r="E305" s="254"/>
      <c r="F305" s="253"/>
      <c r="G305" s="253"/>
      <c r="H305" s="173"/>
      <c r="I305" s="174"/>
      <c r="J305" s="174"/>
      <c r="K305" s="174"/>
      <c r="L305" s="174"/>
      <c r="M305" s="174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</row>
    <row r="306" ht="12.75" customHeight="1">
      <c r="A306" s="253"/>
      <c r="B306" s="254"/>
      <c r="C306" s="253"/>
      <c r="D306" s="253"/>
      <c r="E306" s="254"/>
      <c r="F306" s="253"/>
      <c r="G306" s="253"/>
      <c r="H306" s="173"/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</row>
    <row r="307" ht="12.75" customHeight="1">
      <c r="A307" s="253"/>
      <c r="B307" s="254"/>
      <c r="C307" s="253"/>
      <c r="D307" s="253"/>
      <c r="E307" s="254"/>
      <c r="F307" s="253"/>
      <c r="G307" s="253"/>
      <c r="H307" s="173"/>
      <c r="I307" s="174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</row>
    <row r="308" ht="12.75" customHeight="1">
      <c r="A308" s="253"/>
      <c r="B308" s="254"/>
      <c r="C308" s="253"/>
      <c r="D308" s="253"/>
      <c r="E308" s="254"/>
      <c r="F308" s="253"/>
      <c r="G308" s="253"/>
      <c r="H308" s="173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ht="12.75" customHeight="1">
      <c r="A309" s="253"/>
      <c r="B309" s="254"/>
      <c r="C309" s="253"/>
      <c r="D309" s="253"/>
      <c r="E309" s="254"/>
      <c r="F309" s="253"/>
      <c r="G309" s="253"/>
      <c r="H309" s="173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</row>
    <row r="310" ht="12.75" customHeight="1">
      <c r="A310" s="253"/>
      <c r="B310" s="254"/>
      <c r="C310" s="253"/>
      <c r="D310" s="253"/>
      <c r="E310" s="254"/>
      <c r="F310" s="253"/>
      <c r="G310" s="253"/>
      <c r="H310" s="173"/>
      <c r="I310" s="174"/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</row>
    <row r="311" ht="12.75" customHeight="1">
      <c r="A311" s="253"/>
      <c r="B311" s="254"/>
      <c r="C311" s="253"/>
      <c r="D311" s="253"/>
      <c r="E311" s="254"/>
      <c r="F311" s="253"/>
      <c r="G311" s="253"/>
      <c r="H311" s="173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ht="12.75" customHeight="1">
      <c r="A312" s="253"/>
      <c r="B312" s="254"/>
      <c r="C312" s="253"/>
      <c r="D312" s="253"/>
      <c r="E312" s="254"/>
      <c r="F312" s="253"/>
      <c r="G312" s="253"/>
      <c r="H312" s="173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</row>
    <row r="313" ht="12.75" customHeight="1">
      <c r="A313" s="253"/>
      <c r="B313" s="254"/>
      <c r="C313" s="253"/>
      <c r="D313" s="253"/>
      <c r="E313" s="254"/>
      <c r="F313" s="253"/>
      <c r="G313" s="253"/>
      <c r="H313" s="173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</row>
    <row r="314" ht="12.75" customHeight="1">
      <c r="A314" s="253"/>
      <c r="B314" s="254"/>
      <c r="C314" s="253"/>
      <c r="D314" s="253"/>
      <c r="E314" s="254"/>
      <c r="F314" s="253"/>
      <c r="G314" s="253"/>
      <c r="H314" s="173"/>
      <c r="I314" s="174"/>
      <c r="J314" s="174"/>
      <c r="K314" s="174"/>
      <c r="L314" s="174"/>
      <c r="M314" s="174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</row>
    <row r="315" ht="12.75" customHeight="1">
      <c r="A315" s="253"/>
      <c r="B315" s="254"/>
      <c r="C315" s="253"/>
      <c r="D315" s="253"/>
      <c r="E315" s="254"/>
      <c r="F315" s="253"/>
      <c r="G315" s="253"/>
      <c r="H315" s="173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</row>
    <row r="316" ht="12.75" customHeight="1">
      <c r="A316" s="253"/>
      <c r="B316" s="254"/>
      <c r="C316" s="253"/>
      <c r="D316" s="253"/>
      <c r="E316" s="254"/>
      <c r="F316" s="253"/>
      <c r="G316" s="253"/>
      <c r="H316" s="173"/>
      <c r="I316" s="174"/>
      <c r="J316" s="174"/>
      <c r="K316" s="174"/>
      <c r="L316" s="174"/>
      <c r="M316" s="174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</row>
    <row r="317" ht="12.75" customHeight="1">
      <c r="A317" s="253"/>
      <c r="B317" s="254"/>
      <c r="C317" s="253"/>
      <c r="D317" s="253"/>
      <c r="E317" s="254"/>
      <c r="F317" s="253"/>
      <c r="G317" s="253"/>
      <c r="H317" s="173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</row>
    <row r="318" ht="12.75" customHeight="1">
      <c r="A318" s="253"/>
      <c r="B318" s="254"/>
      <c r="C318" s="253"/>
      <c r="D318" s="253"/>
      <c r="E318" s="254"/>
      <c r="F318" s="253"/>
      <c r="G318" s="253"/>
      <c r="H318" s="173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</row>
    <row r="319" ht="12.75" customHeight="1">
      <c r="A319" s="253"/>
      <c r="B319" s="254"/>
      <c r="C319" s="253"/>
      <c r="D319" s="253"/>
      <c r="E319" s="254"/>
      <c r="F319" s="253"/>
      <c r="G319" s="253"/>
      <c r="H319" s="173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ht="12.75" customHeight="1">
      <c r="A320" s="253"/>
      <c r="B320" s="254"/>
      <c r="C320" s="253"/>
      <c r="D320" s="253"/>
      <c r="E320" s="254"/>
      <c r="F320" s="253"/>
      <c r="G320" s="253"/>
      <c r="H320" s="173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</row>
    <row r="321" ht="12.75" customHeight="1">
      <c r="A321" s="253"/>
      <c r="B321" s="254"/>
      <c r="C321" s="253"/>
      <c r="D321" s="253"/>
      <c r="E321" s="254"/>
      <c r="F321" s="253"/>
      <c r="G321" s="253"/>
      <c r="H321" s="173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</row>
    <row r="322" ht="12.75" customHeight="1">
      <c r="A322" s="253"/>
      <c r="B322" s="254"/>
      <c r="C322" s="253"/>
      <c r="D322" s="253"/>
      <c r="E322" s="254"/>
      <c r="F322" s="253"/>
      <c r="G322" s="253"/>
      <c r="H322" s="173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</row>
    <row r="323" ht="12.75" customHeight="1">
      <c r="A323" s="253"/>
      <c r="B323" s="254"/>
      <c r="C323" s="253"/>
      <c r="D323" s="253"/>
      <c r="E323" s="254"/>
      <c r="F323" s="253"/>
      <c r="G323" s="253"/>
      <c r="H323" s="173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</row>
    <row r="324" ht="12.75" customHeight="1">
      <c r="A324" s="253"/>
      <c r="B324" s="254"/>
      <c r="C324" s="253"/>
      <c r="D324" s="253"/>
      <c r="E324" s="254"/>
      <c r="F324" s="253"/>
      <c r="G324" s="253"/>
      <c r="H324" s="173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</row>
    <row r="325" ht="12.75" customHeight="1">
      <c r="A325" s="253"/>
      <c r="B325" s="254"/>
      <c r="C325" s="253"/>
      <c r="D325" s="253"/>
      <c r="E325" s="254"/>
      <c r="F325" s="253"/>
      <c r="G325" s="253"/>
      <c r="H325" s="173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</row>
    <row r="326" ht="12.75" customHeight="1">
      <c r="A326" s="253"/>
      <c r="B326" s="254"/>
      <c r="C326" s="253"/>
      <c r="D326" s="253"/>
      <c r="E326" s="254"/>
      <c r="F326" s="253"/>
      <c r="G326" s="253"/>
      <c r="H326" s="173"/>
      <c r="I326" s="174"/>
      <c r="J326" s="174"/>
      <c r="K326" s="174"/>
      <c r="L326" s="174"/>
      <c r="M326" s="174"/>
      <c r="N326" s="174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</row>
    <row r="327" ht="12.75" customHeight="1">
      <c r="A327" s="253"/>
      <c r="B327" s="254"/>
      <c r="C327" s="253"/>
      <c r="D327" s="253"/>
      <c r="E327" s="254"/>
      <c r="F327" s="253"/>
      <c r="G327" s="253"/>
      <c r="H327" s="173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ht="12.75" customHeight="1">
      <c r="A328" s="253"/>
      <c r="B328" s="254"/>
      <c r="C328" s="253"/>
      <c r="D328" s="253"/>
      <c r="E328" s="254"/>
      <c r="F328" s="253"/>
      <c r="G328" s="253"/>
      <c r="H328" s="173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</row>
    <row r="329" ht="12.75" customHeight="1">
      <c r="A329" s="253"/>
      <c r="B329" s="254"/>
      <c r="C329" s="253"/>
      <c r="D329" s="253"/>
      <c r="E329" s="254"/>
      <c r="F329" s="253"/>
      <c r="G329" s="253"/>
      <c r="H329" s="173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</row>
    <row r="330" ht="12.75" customHeight="1">
      <c r="A330" s="253"/>
      <c r="B330" s="254"/>
      <c r="C330" s="253"/>
      <c r="D330" s="253"/>
      <c r="E330" s="254"/>
      <c r="F330" s="253"/>
      <c r="G330" s="253"/>
      <c r="H330" s="173"/>
      <c r="I330" s="174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</row>
    <row r="331" ht="12.75" customHeight="1">
      <c r="A331" s="253"/>
      <c r="B331" s="254"/>
      <c r="C331" s="253"/>
      <c r="D331" s="253"/>
      <c r="E331" s="254"/>
      <c r="F331" s="253"/>
      <c r="G331" s="253"/>
      <c r="H331" s="173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</row>
    <row r="332" ht="12.75" customHeight="1">
      <c r="A332" s="253"/>
      <c r="B332" s="254"/>
      <c r="C332" s="253"/>
      <c r="D332" s="253"/>
      <c r="E332" s="254"/>
      <c r="F332" s="253"/>
      <c r="G332" s="253"/>
      <c r="H332" s="173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</row>
    <row r="333" ht="12.75" customHeight="1">
      <c r="A333" s="253"/>
      <c r="B333" s="254"/>
      <c r="C333" s="253"/>
      <c r="D333" s="253"/>
      <c r="E333" s="254"/>
      <c r="F333" s="253"/>
      <c r="G333" s="253"/>
      <c r="H333" s="173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</row>
    <row r="334" ht="12.75" customHeight="1">
      <c r="A334" s="253"/>
      <c r="B334" s="254"/>
      <c r="C334" s="253"/>
      <c r="D334" s="253"/>
      <c r="E334" s="254"/>
      <c r="F334" s="253"/>
      <c r="G334" s="253"/>
      <c r="H334" s="173"/>
      <c r="I334" s="174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</row>
    <row r="335" ht="12.75" customHeight="1">
      <c r="A335" s="253"/>
      <c r="B335" s="254"/>
      <c r="C335" s="253"/>
      <c r="D335" s="253"/>
      <c r="E335" s="254"/>
      <c r="F335" s="253"/>
      <c r="G335" s="253"/>
      <c r="H335" s="173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</row>
    <row r="336" ht="12.75" customHeight="1">
      <c r="A336" s="253"/>
      <c r="B336" s="254"/>
      <c r="C336" s="253"/>
      <c r="D336" s="253"/>
      <c r="E336" s="254"/>
      <c r="F336" s="253"/>
      <c r="G336" s="253"/>
      <c r="H336" s="173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</row>
    <row r="337" ht="12.75" customHeight="1">
      <c r="A337" s="253"/>
      <c r="B337" s="254"/>
      <c r="C337" s="253"/>
      <c r="D337" s="253"/>
      <c r="E337" s="254"/>
      <c r="F337" s="253"/>
      <c r="G337" s="253"/>
      <c r="H337" s="173"/>
      <c r="I337" s="174"/>
      <c r="J337" s="174"/>
      <c r="K337" s="174"/>
      <c r="L337" s="174"/>
      <c r="M337" s="174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</row>
    <row r="338" ht="12.75" customHeight="1">
      <c r="A338" s="253"/>
      <c r="B338" s="254"/>
      <c r="C338" s="253"/>
      <c r="D338" s="253"/>
      <c r="E338" s="254"/>
      <c r="F338" s="253"/>
      <c r="G338" s="253"/>
      <c r="H338" s="173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</row>
    <row r="339" ht="12.75" customHeight="1">
      <c r="A339" s="253"/>
      <c r="B339" s="254"/>
      <c r="C339" s="253"/>
      <c r="D339" s="253"/>
      <c r="E339" s="254"/>
      <c r="F339" s="253"/>
      <c r="G339" s="253"/>
      <c r="H339" s="173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</row>
    <row r="340" ht="12.75" customHeight="1">
      <c r="A340" s="253"/>
      <c r="B340" s="254"/>
      <c r="C340" s="253"/>
      <c r="D340" s="253"/>
      <c r="E340" s="254"/>
      <c r="F340" s="253"/>
      <c r="G340" s="253"/>
      <c r="H340" s="173"/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</row>
    <row r="341" ht="12.75" customHeight="1">
      <c r="A341" s="253"/>
      <c r="B341" s="254"/>
      <c r="C341" s="253"/>
      <c r="D341" s="253"/>
      <c r="E341" s="254"/>
      <c r="F341" s="253"/>
      <c r="G341" s="253"/>
      <c r="H341" s="173"/>
      <c r="I341" s="174"/>
      <c r="J341" s="174"/>
      <c r="K341" s="174"/>
      <c r="L341" s="174"/>
      <c r="M341" s="174"/>
      <c r="N341" s="174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</row>
    <row r="342" ht="12.75" customHeight="1">
      <c r="A342" s="253"/>
      <c r="B342" s="254"/>
      <c r="C342" s="253"/>
      <c r="D342" s="253"/>
      <c r="E342" s="254"/>
      <c r="F342" s="253"/>
      <c r="G342" s="253"/>
      <c r="H342" s="173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</row>
    <row r="343" ht="12.75" customHeight="1">
      <c r="A343" s="253"/>
      <c r="B343" s="254"/>
      <c r="C343" s="253"/>
      <c r="D343" s="253"/>
      <c r="E343" s="254"/>
      <c r="F343" s="253"/>
      <c r="G343" s="253"/>
      <c r="H343" s="173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</row>
    <row r="344" ht="12.75" customHeight="1">
      <c r="A344" s="253"/>
      <c r="B344" s="254"/>
      <c r="C344" s="253"/>
      <c r="D344" s="253"/>
      <c r="E344" s="254"/>
      <c r="F344" s="253"/>
      <c r="G344" s="253"/>
      <c r="H344" s="173"/>
      <c r="I344" s="174"/>
      <c r="J344" s="174"/>
      <c r="K344" s="174"/>
      <c r="L344" s="174"/>
      <c r="M344" s="174"/>
      <c r="N344" s="174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</row>
    <row r="345" ht="12.75" customHeight="1">
      <c r="A345" s="253"/>
      <c r="B345" s="254"/>
      <c r="C345" s="253"/>
      <c r="D345" s="253"/>
      <c r="E345" s="254"/>
      <c r="F345" s="253"/>
      <c r="G345" s="253"/>
      <c r="H345" s="173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</row>
    <row r="346" ht="12.75" customHeight="1">
      <c r="A346" s="253"/>
      <c r="B346" s="254"/>
      <c r="C346" s="253"/>
      <c r="D346" s="253"/>
      <c r="E346" s="254"/>
      <c r="F346" s="253"/>
      <c r="G346" s="253"/>
      <c r="H346" s="173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</row>
    <row r="347" ht="12.75" customHeight="1">
      <c r="A347" s="253"/>
      <c r="B347" s="254"/>
      <c r="C347" s="253"/>
      <c r="D347" s="253"/>
      <c r="E347" s="254"/>
      <c r="F347" s="253"/>
      <c r="G347" s="253"/>
      <c r="H347" s="173"/>
      <c r="I347" s="174"/>
      <c r="J347" s="174"/>
      <c r="K347" s="174"/>
      <c r="L347" s="174"/>
      <c r="M347" s="174"/>
      <c r="N347" s="174"/>
      <c r="O347" s="174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</row>
    <row r="348" ht="12.75" customHeight="1">
      <c r="A348" s="253"/>
      <c r="B348" s="254"/>
      <c r="C348" s="253"/>
      <c r="D348" s="253"/>
      <c r="E348" s="254"/>
      <c r="F348" s="253"/>
      <c r="G348" s="253"/>
      <c r="H348" s="173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</row>
    <row r="349" ht="12.75" customHeight="1">
      <c r="A349" s="253"/>
      <c r="B349" s="254"/>
      <c r="C349" s="253"/>
      <c r="D349" s="253"/>
      <c r="E349" s="254"/>
      <c r="F349" s="253"/>
      <c r="G349" s="253"/>
      <c r="H349" s="173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</row>
    <row r="350" ht="12.75" customHeight="1">
      <c r="A350" s="253"/>
      <c r="B350" s="254"/>
      <c r="C350" s="253"/>
      <c r="D350" s="253"/>
      <c r="E350" s="254"/>
      <c r="F350" s="253"/>
      <c r="G350" s="253"/>
      <c r="H350" s="173"/>
      <c r="I350" s="174"/>
      <c r="J350" s="174"/>
      <c r="K350" s="174"/>
      <c r="L350" s="174"/>
      <c r="M350" s="174"/>
      <c r="N350" s="174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</row>
    <row r="351" ht="12.75" customHeight="1">
      <c r="A351" s="253"/>
      <c r="B351" s="254"/>
      <c r="C351" s="253"/>
      <c r="D351" s="253"/>
      <c r="E351" s="254"/>
      <c r="F351" s="253"/>
      <c r="G351" s="253"/>
      <c r="H351" s="173"/>
      <c r="I351" s="174"/>
      <c r="J351" s="174"/>
      <c r="K351" s="174"/>
      <c r="L351" s="174"/>
      <c r="M351" s="174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</row>
    <row r="352" ht="12.75" customHeight="1">
      <c r="A352" s="253"/>
      <c r="B352" s="254"/>
      <c r="C352" s="253"/>
      <c r="D352" s="253"/>
      <c r="E352" s="254"/>
      <c r="F352" s="253"/>
      <c r="G352" s="253"/>
      <c r="H352" s="173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</row>
    <row r="353" ht="12.75" customHeight="1">
      <c r="A353" s="253"/>
      <c r="B353" s="254"/>
      <c r="C353" s="253"/>
      <c r="D353" s="253"/>
      <c r="E353" s="254"/>
      <c r="F353" s="253"/>
      <c r="G353" s="253"/>
      <c r="H353" s="173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</row>
    <row r="354" ht="12.75" customHeight="1">
      <c r="A354" s="253"/>
      <c r="B354" s="254"/>
      <c r="C354" s="253"/>
      <c r="D354" s="253"/>
      <c r="E354" s="254"/>
      <c r="F354" s="253"/>
      <c r="G354" s="253"/>
      <c r="H354" s="173"/>
      <c r="I354" s="174"/>
      <c r="J354" s="174"/>
      <c r="K354" s="174"/>
      <c r="L354" s="174"/>
      <c r="M354" s="174"/>
      <c r="N354" s="174"/>
      <c r="O354" s="174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</row>
    <row r="355" ht="12.75" customHeight="1">
      <c r="A355" s="253"/>
      <c r="B355" s="254"/>
      <c r="C355" s="253"/>
      <c r="D355" s="253"/>
      <c r="E355" s="254"/>
      <c r="F355" s="253"/>
      <c r="G355" s="253"/>
      <c r="H355" s="173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ht="12.75" customHeight="1">
      <c r="A356" s="253"/>
      <c r="B356" s="254"/>
      <c r="C356" s="253"/>
      <c r="D356" s="253"/>
      <c r="E356" s="254"/>
      <c r="F356" s="253"/>
      <c r="G356" s="253"/>
      <c r="H356" s="173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</row>
    <row r="357" ht="12.75" customHeight="1">
      <c r="A357" s="253"/>
      <c r="B357" s="254"/>
      <c r="C357" s="253"/>
      <c r="D357" s="253"/>
      <c r="E357" s="254"/>
      <c r="F357" s="253"/>
      <c r="G357" s="253"/>
      <c r="H357" s="173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</row>
    <row r="358" ht="12.75" customHeight="1">
      <c r="A358" s="253"/>
      <c r="B358" s="254"/>
      <c r="C358" s="253"/>
      <c r="D358" s="253"/>
      <c r="E358" s="254"/>
      <c r="F358" s="253"/>
      <c r="G358" s="253"/>
      <c r="H358" s="173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</row>
    <row r="359" ht="12.75" customHeight="1">
      <c r="A359" s="253"/>
      <c r="B359" s="254"/>
      <c r="C359" s="253"/>
      <c r="D359" s="253"/>
      <c r="E359" s="254"/>
      <c r="F359" s="253"/>
      <c r="G359" s="253"/>
      <c r="H359" s="173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</row>
    <row r="360" ht="12.75" customHeight="1">
      <c r="A360" s="253"/>
      <c r="B360" s="254"/>
      <c r="C360" s="253"/>
      <c r="D360" s="253"/>
      <c r="E360" s="254"/>
      <c r="F360" s="253"/>
      <c r="G360" s="253"/>
      <c r="H360" s="173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</row>
    <row r="361" ht="12.75" customHeight="1">
      <c r="A361" s="253"/>
      <c r="B361" s="254"/>
      <c r="C361" s="253"/>
      <c r="D361" s="253"/>
      <c r="E361" s="254"/>
      <c r="F361" s="253"/>
      <c r="G361" s="253"/>
      <c r="H361" s="173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</row>
    <row r="362" ht="12.75" customHeight="1">
      <c r="A362" s="253"/>
      <c r="B362" s="254"/>
      <c r="C362" s="253"/>
      <c r="D362" s="253"/>
      <c r="E362" s="254"/>
      <c r="F362" s="253"/>
      <c r="G362" s="253"/>
      <c r="H362" s="173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</row>
    <row r="363" ht="12.75" customHeight="1">
      <c r="A363" s="253"/>
      <c r="B363" s="254"/>
      <c r="C363" s="253"/>
      <c r="D363" s="253"/>
      <c r="E363" s="254"/>
      <c r="F363" s="253"/>
      <c r="G363" s="253"/>
      <c r="H363" s="173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ht="12.75" customHeight="1">
      <c r="A364" s="253"/>
      <c r="B364" s="254"/>
      <c r="C364" s="253"/>
      <c r="D364" s="253"/>
      <c r="E364" s="254"/>
      <c r="F364" s="253"/>
      <c r="G364" s="253"/>
      <c r="H364" s="173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</row>
    <row r="365" ht="12.75" customHeight="1">
      <c r="A365" s="253"/>
      <c r="B365" s="254"/>
      <c r="C365" s="253"/>
      <c r="D365" s="253"/>
      <c r="E365" s="254"/>
      <c r="F365" s="253"/>
      <c r="G365" s="253"/>
      <c r="H365" s="173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</row>
    <row r="366" ht="12.75" customHeight="1">
      <c r="A366" s="253"/>
      <c r="B366" s="254"/>
      <c r="C366" s="253"/>
      <c r="D366" s="253"/>
      <c r="E366" s="254"/>
      <c r="F366" s="253"/>
      <c r="G366" s="253"/>
      <c r="H366" s="173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</row>
    <row r="367" ht="12.75" customHeight="1">
      <c r="A367" s="253"/>
      <c r="B367" s="254"/>
      <c r="C367" s="253"/>
      <c r="D367" s="253"/>
      <c r="E367" s="254"/>
      <c r="F367" s="253"/>
      <c r="G367" s="253"/>
      <c r="H367" s="173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</row>
    <row r="368" ht="12.75" customHeight="1">
      <c r="A368" s="253"/>
      <c r="B368" s="254"/>
      <c r="C368" s="253"/>
      <c r="D368" s="253"/>
      <c r="E368" s="254"/>
      <c r="F368" s="253"/>
      <c r="G368" s="253"/>
      <c r="H368" s="173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</row>
    <row r="369" ht="12.75" customHeight="1">
      <c r="A369" s="253"/>
      <c r="B369" s="254"/>
      <c r="C369" s="253"/>
      <c r="D369" s="253"/>
      <c r="E369" s="254"/>
      <c r="F369" s="253"/>
      <c r="G369" s="253"/>
      <c r="H369" s="173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</row>
    <row r="370" ht="12.75" customHeight="1">
      <c r="A370" s="253"/>
      <c r="B370" s="254"/>
      <c r="C370" s="253"/>
      <c r="D370" s="253"/>
      <c r="E370" s="254"/>
      <c r="F370" s="253"/>
      <c r="G370" s="253"/>
      <c r="H370" s="173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ht="12.75" customHeight="1">
      <c r="A371" s="253"/>
      <c r="B371" s="254"/>
      <c r="C371" s="253"/>
      <c r="D371" s="253"/>
      <c r="E371" s="254"/>
      <c r="F371" s="253"/>
      <c r="G371" s="253"/>
      <c r="H371" s="173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</row>
    <row r="372" ht="12.75" customHeight="1">
      <c r="A372" s="253"/>
      <c r="B372" s="254"/>
      <c r="C372" s="253"/>
      <c r="D372" s="253"/>
      <c r="E372" s="254"/>
      <c r="F372" s="253"/>
      <c r="G372" s="253"/>
      <c r="H372" s="173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</row>
    <row r="373" ht="12.75" customHeight="1">
      <c r="A373" s="253"/>
      <c r="B373" s="254"/>
      <c r="C373" s="253"/>
      <c r="D373" s="253"/>
      <c r="E373" s="254"/>
      <c r="F373" s="253"/>
      <c r="G373" s="253"/>
      <c r="H373" s="173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</row>
    <row r="374" ht="12.75" customHeight="1">
      <c r="A374" s="253"/>
      <c r="B374" s="254"/>
      <c r="C374" s="253"/>
      <c r="D374" s="253"/>
      <c r="E374" s="254"/>
      <c r="F374" s="253"/>
      <c r="G374" s="253"/>
      <c r="H374" s="173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</row>
    <row r="375" ht="12.75" customHeight="1">
      <c r="A375" s="253"/>
      <c r="B375" s="254"/>
      <c r="C375" s="253"/>
      <c r="D375" s="253"/>
      <c r="E375" s="254"/>
      <c r="F375" s="253"/>
      <c r="G375" s="253"/>
      <c r="H375" s="173"/>
      <c r="I375" s="174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</row>
    <row r="376" ht="12.75" customHeight="1">
      <c r="A376" s="253"/>
      <c r="B376" s="254"/>
      <c r="C376" s="253"/>
      <c r="D376" s="253"/>
      <c r="E376" s="254"/>
      <c r="F376" s="253"/>
      <c r="G376" s="253"/>
      <c r="H376" s="173"/>
      <c r="I376" s="174"/>
      <c r="J376" s="174"/>
      <c r="K376" s="174"/>
      <c r="L376" s="174"/>
      <c r="M376" s="174"/>
      <c r="N376" s="174"/>
      <c r="O376" s="174"/>
      <c r="P376" s="174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</row>
    <row r="377" ht="12.75" customHeight="1">
      <c r="A377" s="253"/>
      <c r="B377" s="254"/>
      <c r="C377" s="253"/>
      <c r="D377" s="253"/>
      <c r="E377" s="254"/>
      <c r="F377" s="253"/>
      <c r="G377" s="253"/>
      <c r="H377" s="173"/>
      <c r="I377" s="174"/>
      <c r="J377" s="174"/>
      <c r="K377" s="174"/>
      <c r="L377" s="174"/>
      <c r="M377" s="174"/>
      <c r="N377" s="174"/>
      <c r="O377" s="174"/>
      <c r="P377" s="174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</row>
    <row r="378" ht="12.75" customHeight="1">
      <c r="A378" s="253"/>
      <c r="B378" s="254"/>
      <c r="C378" s="253"/>
      <c r="D378" s="253"/>
      <c r="E378" s="254"/>
      <c r="F378" s="253"/>
      <c r="G378" s="253"/>
      <c r="H378" s="173"/>
      <c r="I378" s="174"/>
      <c r="J378" s="174"/>
      <c r="K378" s="174"/>
      <c r="L378" s="174"/>
      <c r="M378" s="174"/>
      <c r="N378" s="174"/>
      <c r="O378" s="174"/>
      <c r="P378" s="174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</row>
    <row r="379" ht="12.75" customHeight="1">
      <c r="A379" s="253"/>
      <c r="B379" s="254"/>
      <c r="C379" s="253"/>
      <c r="D379" s="253"/>
      <c r="E379" s="254"/>
      <c r="F379" s="253"/>
      <c r="G379" s="253"/>
      <c r="H379" s="173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ht="12.75" customHeight="1">
      <c r="A380" s="253"/>
      <c r="B380" s="254"/>
      <c r="C380" s="253"/>
      <c r="D380" s="253"/>
      <c r="E380" s="254"/>
      <c r="F380" s="253"/>
      <c r="G380" s="253"/>
      <c r="H380" s="173"/>
      <c r="I380" s="174"/>
      <c r="J380" s="174"/>
      <c r="K380" s="174"/>
      <c r="L380" s="174"/>
      <c r="M380" s="174"/>
      <c r="N380" s="174"/>
      <c r="O380" s="174"/>
      <c r="P380" s="174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</row>
    <row r="381" ht="12.75" customHeight="1">
      <c r="A381" s="253"/>
      <c r="B381" s="254"/>
      <c r="C381" s="253"/>
      <c r="D381" s="253"/>
      <c r="E381" s="254"/>
      <c r="F381" s="253"/>
      <c r="G381" s="253"/>
      <c r="H381" s="173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</row>
    <row r="382" ht="12.75" customHeight="1">
      <c r="A382" s="253"/>
      <c r="B382" s="254"/>
      <c r="C382" s="253"/>
      <c r="D382" s="253"/>
      <c r="E382" s="254"/>
      <c r="F382" s="253"/>
      <c r="G382" s="253"/>
      <c r="H382" s="173"/>
      <c r="I382" s="174"/>
      <c r="J382" s="174"/>
      <c r="K382" s="174"/>
      <c r="L382" s="174"/>
      <c r="M382" s="174"/>
      <c r="N382" s="174"/>
      <c r="O382" s="174"/>
      <c r="P382" s="174"/>
      <c r="Q382" s="174"/>
      <c r="R382" s="174"/>
      <c r="S382" s="174"/>
      <c r="T382" s="174"/>
      <c r="U382" s="174"/>
      <c r="V382" s="174"/>
      <c r="W382" s="174"/>
      <c r="X382" s="174"/>
      <c r="Y382" s="174"/>
      <c r="Z382" s="174"/>
    </row>
    <row r="383" ht="12.75" customHeight="1">
      <c r="A383" s="253"/>
      <c r="B383" s="254"/>
      <c r="C383" s="253"/>
      <c r="D383" s="253"/>
      <c r="E383" s="254"/>
      <c r="F383" s="253"/>
      <c r="G383" s="253"/>
      <c r="H383" s="173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</row>
    <row r="384" ht="12.75" customHeight="1">
      <c r="A384" s="253"/>
      <c r="B384" s="254"/>
      <c r="C384" s="253"/>
      <c r="D384" s="253"/>
      <c r="E384" s="254"/>
      <c r="F384" s="253"/>
      <c r="G384" s="253"/>
      <c r="H384" s="173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</row>
    <row r="385" ht="12.75" customHeight="1">
      <c r="A385" s="253"/>
      <c r="B385" s="254"/>
      <c r="C385" s="253"/>
      <c r="D385" s="253"/>
      <c r="E385" s="254"/>
      <c r="F385" s="253"/>
      <c r="G385" s="253"/>
      <c r="H385" s="173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</row>
    <row r="386" ht="12.75" customHeight="1">
      <c r="A386" s="253"/>
      <c r="B386" s="254"/>
      <c r="C386" s="253"/>
      <c r="D386" s="253"/>
      <c r="E386" s="254"/>
      <c r="F386" s="253"/>
      <c r="G386" s="253"/>
      <c r="H386" s="173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</row>
    <row r="387" ht="12.75" customHeight="1">
      <c r="A387" s="253"/>
      <c r="B387" s="254"/>
      <c r="C387" s="253"/>
      <c r="D387" s="253"/>
      <c r="E387" s="254"/>
      <c r="F387" s="253"/>
      <c r="G387" s="253"/>
      <c r="H387" s="173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</row>
    <row r="388" ht="12.75" customHeight="1">
      <c r="A388" s="253"/>
      <c r="B388" s="254"/>
      <c r="C388" s="253"/>
      <c r="D388" s="253"/>
      <c r="E388" s="254"/>
      <c r="F388" s="253"/>
      <c r="G388" s="253"/>
      <c r="H388" s="173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</row>
    <row r="389" ht="12.75" customHeight="1">
      <c r="A389" s="253"/>
      <c r="B389" s="254"/>
      <c r="C389" s="253"/>
      <c r="D389" s="253"/>
      <c r="E389" s="254"/>
      <c r="F389" s="253"/>
      <c r="G389" s="253"/>
      <c r="H389" s="173"/>
      <c r="I389" s="174"/>
      <c r="J389" s="174"/>
      <c r="K389" s="174"/>
      <c r="L389" s="174"/>
      <c r="M389" s="174"/>
      <c r="N389" s="174"/>
      <c r="O389" s="174"/>
      <c r="P389" s="174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</row>
    <row r="390" ht="12.75" customHeight="1">
      <c r="A390" s="253"/>
      <c r="B390" s="254"/>
      <c r="C390" s="253"/>
      <c r="D390" s="253"/>
      <c r="E390" s="254"/>
      <c r="F390" s="253"/>
      <c r="G390" s="253"/>
      <c r="H390" s="173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</row>
    <row r="391" ht="12.75" customHeight="1">
      <c r="A391" s="253"/>
      <c r="B391" s="254"/>
      <c r="C391" s="253"/>
      <c r="D391" s="253"/>
      <c r="E391" s="254"/>
      <c r="F391" s="253"/>
      <c r="G391" s="253"/>
      <c r="H391" s="173"/>
      <c r="I391" s="174"/>
      <c r="J391" s="174"/>
      <c r="K391" s="174"/>
      <c r="L391" s="174"/>
      <c r="M391" s="174"/>
      <c r="N391" s="174"/>
      <c r="O391" s="174"/>
      <c r="P391" s="174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</row>
    <row r="392" ht="12.75" customHeight="1">
      <c r="A392" s="253"/>
      <c r="B392" s="254"/>
      <c r="C392" s="253"/>
      <c r="D392" s="253"/>
      <c r="E392" s="254"/>
      <c r="F392" s="253"/>
      <c r="G392" s="253"/>
      <c r="H392" s="173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</row>
    <row r="393" ht="12.75" customHeight="1">
      <c r="A393" s="253"/>
      <c r="B393" s="254"/>
      <c r="C393" s="253"/>
      <c r="D393" s="253"/>
      <c r="E393" s="254"/>
      <c r="F393" s="253"/>
      <c r="G393" s="253"/>
      <c r="H393" s="173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</row>
    <row r="394" ht="12.75" customHeight="1">
      <c r="A394" s="253"/>
      <c r="B394" s="254"/>
      <c r="C394" s="253"/>
      <c r="D394" s="253"/>
      <c r="E394" s="254"/>
      <c r="F394" s="253"/>
      <c r="G394" s="253"/>
      <c r="H394" s="173"/>
      <c r="I394" s="174"/>
      <c r="J394" s="174"/>
      <c r="K394" s="174"/>
      <c r="L394" s="174"/>
      <c r="M394" s="174"/>
      <c r="N394" s="174"/>
      <c r="O394" s="174"/>
      <c r="P394" s="174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</row>
    <row r="395" ht="12.75" customHeight="1">
      <c r="A395" s="253"/>
      <c r="B395" s="254"/>
      <c r="C395" s="253"/>
      <c r="D395" s="253"/>
      <c r="E395" s="254"/>
      <c r="F395" s="253"/>
      <c r="G395" s="253"/>
      <c r="H395" s="173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</row>
    <row r="396" ht="12.75" customHeight="1">
      <c r="A396" s="253"/>
      <c r="B396" s="254"/>
      <c r="C396" s="253"/>
      <c r="D396" s="253"/>
      <c r="E396" s="254"/>
      <c r="F396" s="253"/>
      <c r="G396" s="253"/>
      <c r="H396" s="173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</row>
    <row r="397" ht="12.75" customHeight="1">
      <c r="A397" s="253"/>
      <c r="B397" s="254"/>
      <c r="C397" s="253"/>
      <c r="D397" s="253"/>
      <c r="E397" s="254"/>
      <c r="F397" s="253"/>
      <c r="G397" s="253"/>
      <c r="H397" s="173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</row>
    <row r="398" ht="12.75" customHeight="1">
      <c r="A398" s="253"/>
      <c r="B398" s="254"/>
      <c r="C398" s="253"/>
      <c r="D398" s="253"/>
      <c r="E398" s="254"/>
      <c r="F398" s="253"/>
      <c r="G398" s="253"/>
      <c r="H398" s="173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</row>
    <row r="399" ht="12.75" customHeight="1">
      <c r="A399" s="253"/>
      <c r="B399" s="254"/>
      <c r="C399" s="253"/>
      <c r="D399" s="253"/>
      <c r="E399" s="254"/>
      <c r="F399" s="253"/>
      <c r="G399" s="253"/>
      <c r="H399" s="173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</row>
    <row r="400" ht="12.75" customHeight="1">
      <c r="A400" s="253"/>
      <c r="B400" s="254"/>
      <c r="C400" s="253"/>
      <c r="D400" s="253"/>
      <c r="E400" s="254"/>
      <c r="F400" s="253"/>
      <c r="G400" s="253"/>
      <c r="H400" s="173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</row>
    <row r="401" ht="12.75" customHeight="1">
      <c r="A401" s="253"/>
      <c r="B401" s="254"/>
      <c r="C401" s="253"/>
      <c r="D401" s="253"/>
      <c r="E401" s="254"/>
      <c r="F401" s="253"/>
      <c r="G401" s="253"/>
      <c r="H401" s="173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</row>
    <row r="402" ht="12.75" customHeight="1">
      <c r="A402" s="253"/>
      <c r="B402" s="254"/>
      <c r="C402" s="253"/>
      <c r="D402" s="253"/>
      <c r="E402" s="254"/>
      <c r="F402" s="253"/>
      <c r="G402" s="253"/>
      <c r="H402" s="173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</row>
    <row r="403" ht="12.75" customHeight="1">
      <c r="A403" s="253"/>
      <c r="B403" s="254"/>
      <c r="C403" s="253"/>
      <c r="D403" s="253"/>
      <c r="E403" s="254"/>
      <c r="F403" s="253"/>
      <c r="G403" s="253"/>
      <c r="H403" s="173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</row>
    <row r="404" ht="12.75" customHeight="1">
      <c r="A404" s="253"/>
      <c r="B404" s="254"/>
      <c r="C404" s="253"/>
      <c r="D404" s="253"/>
      <c r="E404" s="254"/>
      <c r="F404" s="253"/>
      <c r="G404" s="253"/>
      <c r="H404" s="173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</row>
    <row r="405" ht="12.75" customHeight="1">
      <c r="A405" s="253"/>
      <c r="B405" s="254"/>
      <c r="C405" s="253"/>
      <c r="D405" s="253"/>
      <c r="E405" s="254"/>
      <c r="F405" s="253"/>
      <c r="G405" s="253"/>
      <c r="H405" s="173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</row>
    <row r="406" ht="12.75" customHeight="1">
      <c r="A406" s="253"/>
      <c r="B406" s="254"/>
      <c r="C406" s="253"/>
      <c r="D406" s="253"/>
      <c r="E406" s="254"/>
      <c r="F406" s="253"/>
      <c r="G406" s="253"/>
      <c r="H406" s="173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  <c r="T406" s="174"/>
      <c r="U406" s="174"/>
      <c r="V406" s="174"/>
      <c r="W406" s="174"/>
      <c r="X406" s="174"/>
      <c r="Y406" s="174"/>
      <c r="Z406" s="174"/>
    </row>
    <row r="407" ht="12.75" customHeight="1">
      <c r="A407" s="253"/>
      <c r="B407" s="254"/>
      <c r="C407" s="253"/>
      <c r="D407" s="253"/>
      <c r="E407" s="254"/>
      <c r="F407" s="253"/>
      <c r="G407" s="253"/>
      <c r="H407" s="173"/>
      <c r="I407" s="174"/>
      <c r="J407" s="174"/>
      <c r="K407" s="174"/>
      <c r="L407" s="174"/>
      <c r="M407" s="174"/>
      <c r="N407" s="174"/>
      <c r="O407" s="174"/>
      <c r="P407" s="17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</row>
    <row r="408" ht="12.75" customHeight="1">
      <c r="A408" s="253"/>
      <c r="B408" s="254"/>
      <c r="C408" s="253"/>
      <c r="D408" s="253"/>
      <c r="E408" s="254"/>
      <c r="F408" s="253"/>
      <c r="G408" s="253"/>
      <c r="H408" s="173"/>
      <c r="I408" s="174"/>
      <c r="J408" s="174"/>
      <c r="K408" s="174"/>
      <c r="L408" s="174"/>
      <c r="M408" s="174"/>
      <c r="N408" s="174"/>
      <c r="O408" s="174"/>
      <c r="P408" s="174"/>
      <c r="Q408" s="174"/>
      <c r="R408" s="174"/>
      <c r="S408" s="174"/>
      <c r="T408" s="174"/>
      <c r="U408" s="174"/>
      <c r="V408" s="174"/>
      <c r="W408" s="174"/>
      <c r="X408" s="174"/>
      <c r="Y408" s="174"/>
      <c r="Z408" s="174"/>
    </row>
    <row r="409" ht="12.75" customHeight="1">
      <c r="A409" s="253"/>
      <c r="B409" s="254"/>
      <c r="C409" s="253"/>
      <c r="D409" s="253"/>
      <c r="E409" s="254"/>
      <c r="F409" s="253"/>
      <c r="G409" s="253"/>
      <c r="H409" s="173"/>
      <c r="I409" s="174"/>
      <c r="J409" s="174"/>
      <c r="K409" s="174"/>
      <c r="L409" s="174"/>
      <c r="M409" s="174"/>
      <c r="N409" s="174"/>
      <c r="O409" s="174"/>
      <c r="P409" s="174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</row>
    <row r="410" ht="12.75" customHeight="1">
      <c r="A410" s="253"/>
      <c r="B410" s="254"/>
      <c r="C410" s="253"/>
      <c r="D410" s="253"/>
      <c r="E410" s="254"/>
      <c r="F410" s="253"/>
      <c r="G410" s="253"/>
      <c r="H410" s="173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</row>
    <row r="411" ht="12.75" customHeight="1">
      <c r="A411" s="253"/>
      <c r="B411" s="254"/>
      <c r="C411" s="253"/>
      <c r="D411" s="253"/>
      <c r="E411" s="254"/>
      <c r="F411" s="253"/>
      <c r="G411" s="253"/>
      <c r="H411" s="173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</row>
    <row r="412" ht="12.75" customHeight="1">
      <c r="A412" s="253"/>
      <c r="B412" s="254"/>
      <c r="C412" s="253"/>
      <c r="D412" s="253"/>
      <c r="E412" s="254"/>
      <c r="F412" s="253"/>
      <c r="G412" s="253"/>
      <c r="H412" s="173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</row>
    <row r="413" ht="12.75" customHeight="1">
      <c r="A413" s="253"/>
      <c r="B413" s="254"/>
      <c r="C413" s="253"/>
      <c r="D413" s="253"/>
      <c r="E413" s="254"/>
      <c r="F413" s="253"/>
      <c r="G413" s="253"/>
      <c r="H413" s="173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</row>
    <row r="414" ht="12.75" customHeight="1">
      <c r="A414" s="253"/>
      <c r="B414" s="254"/>
      <c r="C414" s="253"/>
      <c r="D414" s="253"/>
      <c r="E414" s="254"/>
      <c r="F414" s="253"/>
      <c r="G414" s="253"/>
      <c r="H414" s="173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</row>
    <row r="415" ht="12.75" customHeight="1">
      <c r="A415" s="253"/>
      <c r="B415" s="254"/>
      <c r="C415" s="253"/>
      <c r="D415" s="253"/>
      <c r="E415" s="254"/>
      <c r="F415" s="253"/>
      <c r="G415" s="253"/>
      <c r="H415" s="173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</row>
    <row r="416" ht="12.75" customHeight="1">
      <c r="A416" s="253"/>
      <c r="B416" s="254"/>
      <c r="C416" s="253"/>
      <c r="D416" s="253"/>
      <c r="E416" s="254"/>
      <c r="F416" s="253"/>
      <c r="G416" s="253"/>
      <c r="H416" s="173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</row>
    <row r="417" ht="12.75" customHeight="1">
      <c r="A417" s="253"/>
      <c r="B417" s="254"/>
      <c r="C417" s="253"/>
      <c r="D417" s="253"/>
      <c r="E417" s="254"/>
      <c r="F417" s="253"/>
      <c r="G417" s="253"/>
      <c r="H417" s="173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</row>
    <row r="418" ht="12.75" customHeight="1">
      <c r="A418" s="253"/>
      <c r="B418" s="254"/>
      <c r="C418" s="253"/>
      <c r="D418" s="253"/>
      <c r="E418" s="254"/>
      <c r="F418" s="253"/>
      <c r="G418" s="253"/>
      <c r="H418" s="173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</row>
    <row r="419" ht="12.75" customHeight="1">
      <c r="A419" s="253"/>
      <c r="B419" s="254"/>
      <c r="C419" s="253"/>
      <c r="D419" s="253"/>
      <c r="E419" s="254"/>
      <c r="F419" s="253"/>
      <c r="G419" s="253"/>
      <c r="H419" s="173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</row>
    <row r="420" ht="12.75" customHeight="1">
      <c r="A420" s="253"/>
      <c r="B420" s="254"/>
      <c r="C420" s="253"/>
      <c r="D420" s="253"/>
      <c r="E420" s="254"/>
      <c r="F420" s="253"/>
      <c r="G420" s="253"/>
      <c r="H420" s="173"/>
      <c r="I420" s="174"/>
      <c r="J420" s="174"/>
      <c r="K420" s="174"/>
      <c r="L420" s="174"/>
      <c r="M420" s="174"/>
      <c r="N420" s="174"/>
      <c r="O420" s="174"/>
      <c r="P420" s="174"/>
      <c r="Q420" s="174"/>
      <c r="R420" s="174"/>
      <c r="S420" s="174"/>
      <c r="T420" s="174"/>
      <c r="U420" s="174"/>
      <c r="V420" s="174"/>
      <c r="W420" s="174"/>
      <c r="X420" s="174"/>
      <c r="Y420" s="174"/>
      <c r="Z420" s="174"/>
    </row>
    <row r="421" ht="12.75" customHeight="1">
      <c r="A421" s="253"/>
      <c r="B421" s="254"/>
      <c r="C421" s="253"/>
      <c r="D421" s="253"/>
      <c r="E421" s="254"/>
      <c r="F421" s="253"/>
      <c r="G421" s="253"/>
      <c r="H421" s="173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/>
      <c r="V421" s="174"/>
      <c r="W421" s="174"/>
      <c r="X421" s="174"/>
      <c r="Y421" s="174"/>
      <c r="Z421" s="174"/>
    </row>
    <row r="422" ht="12.75" customHeight="1">
      <c r="A422" s="253"/>
      <c r="B422" s="254"/>
      <c r="C422" s="253"/>
      <c r="D422" s="253"/>
      <c r="E422" s="254"/>
      <c r="F422" s="253"/>
      <c r="G422" s="253"/>
      <c r="H422" s="173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</row>
    <row r="423" ht="12.75" customHeight="1">
      <c r="A423" s="253"/>
      <c r="B423" s="254"/>
      <c r="C423" s="253"/>
      <c r="D423" s="253"/>
      <c r="E423" s="254"/>
      <c r="F423" s="253"/>
      <c r="G423" s="253"/>
      <c r="H423" s="173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</row>
    <row r="424" ht="12.75" customHeight="1">
      <c r="A424" s="253"/>
      <c r="B424" s="254"/>
      <c r="C424" s="253"/>
      <c r="D424" s="253"/>
      <c r="E424" s="254"/>
      <c r="F424" s="253"/>
      <c r="G424" s="253"/>
      <c r="H424" s="173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</row>
    <row r="425" ht="12.75" customHeight="1">
      <c r="A425" s="253"/>
      <c r="B425" s="254"/>
      <c r="C425" s="253"/>
      <c r="D425" s="253"/>
      <c r="E425" s="254"/>
      <c r="F425" s="253"/>
      <c r="G425" s="253"/>
      <c r="H425" s="173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</row>
    <row r="426" ht="12.75" customHeight="1">
      <c r="A426" s="253"/>
      <c r="B426" s="254"/>
      <c r="C426" s="253"/>
      <c r="D426" s="253"/>
      <c r="E426" s="254"/>
      <c r="F426" s="253"/>
      <c r="G426" s="253"/>
      <c r="H426" s="173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</row>
    <row r="427" ht="12.75" customHeight="1">
      <c r="A427" s="253"/>
      <c r="B427" s="254"/>
      <c r="C427" s="253"/>
      <c r="D427" s="253"/>
      <c r="E427" s="254"/>
      <c r="F427" s="253"/>
      <c r="G427" s="253"/>
      <c r="H427" s="173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/>
      <c r="V427" s="174"/>
      <c r="W427" s="174"/>
      <c r="X427" s="174"/>
      <c r="Y427" s="174"/>
      <c r="Z427" s="174"/>
    </row>
    <row r="428" ht="12.75" customHeight="1">
      <c r="A428" s="253"/>
      <c r="B428" s="254"/>
      <c r="C428" s="253"/>
      <c r="D428" s="253"/>
      <c r="E428" s="254"/>
      <c r="F428" s="253"/>
      <c r="G428" s="253"/>
      <c r="H428" s="173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</row>
    <row r="429" ht="12.75" customHeight="1">
      <c r="A429" s="253"/>
      <c r="B429" s="254"/>
      <c r="C429" s="253"/>
      <c r="D429" s="253"/>
      <c r="E429" s="254"/>
      <c r="F429" s="253"/>
      <c r="G429" s="253"/>
      <c r="H429" s="173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/>
      <c r="V429" s="174"/>
      <c r="W429" s="174"/>
      <c r="X429" s="174"/>
      <c r="Y429" s="174"/>
      <c r="Z429" s="174"/>
    </row>
    <row r="430" ht="12.75" customHeight="1">
      <c r="A430" s="253"/>
      <c r="B430" s="254"/>
      <c r="C430" s="253"/>
      <c r="D430" s="253"/>
      <c r="E430" s="254"/>
      <c r="F430" s="253"/>
      <c r="G430" s="253"/>
      <c r="H430" s="173"/>
      <c r="I430" s="174"/>
      <c r="J430" s="174"/>
      <c r="K430" s="174"/>
      <c r="L430" s="174"/>
      <c r="M430" s="174"/>
      <c r="N430" s="174"/>
      <c r="O430" s="174"/>
      <c r="P430" s="174"/>
      <c r="Q430" s="174"/>
      <c r="R430" s="174"/>
      <c r="S430" s="174"/>
      <c r="T430" s="174"/>
      <c r="U430" s="174"/>
      <c r="V430" s="174"/>
      <c r="W430" s="174"/>
      <c r="X430" s="174"/>
      <c r="Y430" s="174"/>
      <c r="Z430" s="174"/>
    </row>
    <row r="431" ht="12.75" customHeight="1">
      <c r="A431" s="253"/>
      <c r="B431" s="254"/>
      <c r="C431" s="253"/>
      <c r="D431" s="253"/>
      <c r="E431" s="254"/>
      <c r="F431" s="253"/>
      <c r="G431" s="253"/>
      <c r="H431" s="173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</row>
    <row r="432" ht="12.75" customHeight="1">
      <c r="A432" s="253"/>
      <c r="B432" s="254"/>
      <c r="C432" s="253"/>
      <c r="D432" s="253"/>
      <c r="E432" s="254"/>
      <c r="F432" s="253"/>
      <c r="G432" s="253"/>
      <c r="H432" s="173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</row>
    <row r="433" ht="12.75" customHeight="1">
      <c r="A433" s="253"/>
      <c r="B433" s="254"/>
      <c r="C433" s="253"/>
      <c r="D433" s="253"/>
      <c r="E433" s="254"/>
      <c r="F433" s="253"/>
      <c r="G433" s="253"/>
      <c r="H433" s="173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</row>
    <row r="434" ht="12.75" customHeight="1">
      <c r="A434" s="253"/>
      <c r="B434" s="254"/>
      <c r="C434" s="253"/>
      <c r="D434" s="253"/>
      <c r="E434" s="254"/>
      <c r="F434" s="253"/>
      <c r="G434" s="253"/>
      <c r="H434" s="173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</row>
    <row r="435" ht="12.75" customHeight="1">
      <c r="A435" s="253"/>
      <c r="B435" s="254"/>
      <c r="C435" s="253"/>
      <c r="D435" s="253"/>
      <c r="E435" s="254"/>
      <c r="F435" s="253"/>
      <c r="G435" s="253"/>
      <c r="H435" s="173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</row>
    <row r="436" ht="12.75" customHeight="1">
      <c r="A436" s="253"/>
      <c r="B436" s="254"/>
      <c r="C436" s="253"/>
      <c r="D436" s="253"/>
      <c r="E436" s="254"/>
      <c r="F436" s="253"/>
      <c r="G436" s="253"/>
      <c r="H436" s="173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</row>
    <row r="437" ht="12.75" customHeight="1">
      <c r="A437" s="253"/>
      <c r="B437" s="254"/>
      <c r="C437" s="253"/>
      <c r="D437" s="253"/>
      <c r="E437" s="254"/>
      <c r="F437" s="253"/>
      <c r="G437" s="253"/>
      <c r="H437" s="173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</row>
    <row r="438" ht="12.75" customHeight="1">
      <c r="A438" s="253"/>
      <c r="B438" s="254"/>
      <c r="C438" s="253"/>
      <c r="D438" s="253"/>
      <c r="E438" s="254"/>
      <c r="F438" s="253"/>
      <c r="G438" s="253"/>
      <c r="H438" s="173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</row>
    <row r="439" ht="12.75" customHeight="1">
      <c r="A439" s="253"/>
      <c r="B439" s="254"/>
      <c r="C439" s="253"/>
      <c r="D439" s="253"/>
      <c r="E439" s="254"/>
      <c r="F439" s="253"/>
      <c r="G439" s="253"/>
      <c r="H439" s="173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</row>
    <row r="440" ht="12.75" customHeight="1">
      <c r="A440" s="253"/>
      <c r="B440" s="254"/>
      <c r="C440" s="253"/>
      <c r="D440" s="253"/>
      <c r="E440" s="254"/>
      <c r="F440" s="253"/>
      <c r="G440" s="253"/>
      <c r="H440" s="173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</row>
    <row r="441" ht="12.75" customHeight="1">
      <c r="A441" s="253"/>
      <c r="B441" s="254"/>
      <c r="C441" s="253"/>
      <c r="D441" s="253"/>
      <c r="E441" s="254"/>
      <c r="F441" s="253"/>
      <c r="G441" s="253"/>
      <c r="H441" s="173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/>
      <c r="V441" s="174"/>
      <c r="W441" s="174"/>
      <c r="X441" s="174"/>
      <c r="Y441" s="174"/>
      <c r="Z441" s="174"/>
    </row>
    <row r="442" ht="12.75" customHeight="1">
      <c r="A442" s="253"/>
      <c r="B442" s="254"/>
      <c r="C442" s="253"/>
      <c r="D442" s="253"/>
      <c r="E442" s="254"/>
      <c r="F442" s="253"/>
      <c r="G442" s="253"/>
      <c r="H442" s="173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</row>
    <row r="443" ht="12.75" customHeight="1">
      <c r="A443" s="253"/>
      <c r="B443" s="254"/>
      <c r="C443" s="253"/>
      <c r="D443" s="253"/>
      <c r="E443" s="254"/>
      <c r="F443" s="253"/>
      <c r="G443" s="253"/>
      <c r="H443" s="173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</row>
    <row r="444" ht="12.75" customHeight="1">
      <c r="A444" s="253"/>
      <c r="B444" s="254"/>
      <c r="C444" s="253"/>
      <c r="D444" s="253"/>
      <c r="E444" s="254"/>
      <c r="F444" s="253"/>
      <c r="G444" s="253"/>
      <c r="H444" s="173"/>
      <c r="I444" s="174"/>
      <c r="J444" s="174"/>
      <c r="K444" s="174"/>
      <c r="L444" s="174"/>
      <c r="M444" s="174"/>
      <c r="N444" s="174"/>
      <c r="O444" s="174"/>
      <c r="P444" s="174"/>
      <c r="Q444" s="174"/>
      <c r="R444" s="174"/>
      <c r="S444" s="174"/>
      <c r="T444" s="174"/>
      <c r="U444" s="174"/>
      <c r="V444" s="174"/>
      <c r="W444" s="174"/>
      <c r="X444" s="174"/>
      <c r="Y444" s="174"/>
      <c r="Z444" s="174"/>
    </row>
    <row r="445" ht="12.75" customHeight="1">
      <c r="A445" s="253"/>
      <c r="B445" s="254"/>
      <c r="C445" s="253"/>
      <c r="D445" s="253"/>
      <c r="E445" s="254"/>
      <c r="F445" s="253"/>
      <c r="G445" s="253"/>
      <c r="H445" s="173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/>
      <c r="V445" s="174"/>
      <c r="W445" s="174"/>
      <c r="X445" s="174"/>
      <c r="Y445" s="174"/>
      <c r="Z445" s="174"/>
    </row>
    <row r="446" ht="12.75" customHeight="1">
      <c r="A446" s="253"/>
      <c r="B446" s="254"/>
      <c r="C446" s="253"/>
      <c r="D446" s="253"/>
      <c r="E446" s="254"/>
      <c r="F446" s="253"/>
      <c r="G446" s="253"/>
      <c r="H446" s="173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</row>
    <row r="447" ht="12.75" customHeight="1">
      <c r="A447" s="253"/>
      <c r="B447" s="254"/>
      <c r="C447" s="253"/>
      <c r="D447" s="253"/>
      <c r="E447" s="254"/>
      <c r="F447" s="253"/>
      <c r="G447" s="253"/>
      <c r="H447" s="173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</row>
    <row r="448" ht="12.75" customHeight="1">
      <c r="A448" s="253"/>
      <c r="B448" s="254"/>
      <c r="C448" s="253"/>
      <c r="D448" s="253"/>
      <c r="E448" s="254"/>
      <c r="F448" s="253"/>
      <c r="G448" s="253"/>
      <c r="H448" s="173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</row>
    <row r="449" ht="12.75" customHeight="1">
      <c r="A449" s="253"/>
      <c r="B449" s="254"/>
      <c r="C449" s="253"/>
      <c r="D449" s="253"/>
      <c r="E449" s="254"/>
      <c r="F449" s="253"/>
      <c r="G449" s="253"/>
      <c r="H449" s="173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</row>
    <row r="450" ht="12.75" customHeight="1">
      <c r="A450" s="253"/>
      <c r="B450" s="254"/>
      <c r="C450" s="253"/>
      <c r="D450" s="253"/>
      <c r="E450" s="254"/>
      <c r="F450" s="253"/>
      <c r="G450" s="253"/>
      <c r="H450" s="173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</row>
    <row r="451" ht="12.75" customHeight="1">
      <c r="A451" s="253"/>
      <c r="B451" s="254"/>
      <c r="C451" s="253"/>
      <c r="D451" s="253"/>
      <c r="E451" s="254"/>
      <c r="F451" s="253"/>
      <c r="G451" s="253"/>
      <c r="H451" s="173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</row>
    <row r="452" ht="12.75" customHeight="1">
      <c r="A452" s="253"/>
      <c r="B452" s="254"/>
      <c r="C452" s="253"/>
      <c r="D452" s="253"/>
      <c r="E452" s="254"/>
      <c r="F452" s="253"/>
      <c r="G452" s="253"/>
      <c r="H452" s="173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</row>
    <row r="453" ht="12.75" customHeight="1">
      <c r="A453" s="253"/>
      <c r="B453" s="254"/>
      <c r="C453" s="253"/>
      <c r="D453" s="253"/>
      <c r="E453" s="254"/>
      <c r="F453" s="253"/>
      <c r="G453" s="253"/>
      <c r="H453" s="173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</row>
    <row r="454" ht="12.75" customHeight="1">
      <c r="A454" s="253"/>
      <c r="B454" s="254"/>
      <c r="C454" s="253"/>
      <c r="D454" s="253"/>
      <c r="E454" s="254"/>
      <c r="F454" s="253"/>
      <c r="G454" s="253"/>
      <c r="H454" s="173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</row>
    <row r="455" ht="12.75" customHeight="1">
      <c r="A455" s="253"/>
      <c r="B455" s="254"/>
      <c r="C455" s="253"/>
      <c r="D455" s="253"/>
      <c r="E455" s="254"/>
      <c r="F455" s="253"/>
      <c r="G455" s="253"/>
      <c r="H455" s="173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</row>
    <row r="456" ht="12.75" customHeight="1">
      <c r="A456" s="253"/>
      <c r="B456" s="254"/>
      <c r="C456" s="253"/>
      <c r="D456" s="253"/>
      <c r="E456" s="254"/>
      <c r="F456" s="253"/>
      <c r="G456" s="253"/>
      <c r="H456" s="173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</row>
    <row r="457" ht="12.75" customHeight="1">
      <c r="A457" s="253"/>
      <c r="B457" s="254"/>
      <c r="C457" s="253"/>
      <c r="D457" s="253"/>
      <c r="E457" s="254"/>
      <c r="F457" s="253"/>
      <c r="G457" s="253"/>
      <c r="H457" s="173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</row>
    <row r="458" ht="12.75" customHeight="1">
      <c r="A458" s="253"/>
      <c r="B458" s="254"/>
      <c r="C458" s="253"/>
      <c r="D458" s="253"/>
      <c r="E458" s="254"/>
      <c r="F458" s="253"/>
      <c r="G458" s="253"/>
      <c r="H458" s="173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</row>
    <row r="459" ht="12.75" customHeight="1">
      <c r="A459" s="253"/>
      <c r="B459" s="254"/>
      <c r="C459" s="253"/>
      <c r="D459" s="253"/>
      <c r="E459" s="254"/>
      <c r="F459" s="253"/>
      <c r="G459" s="253"/>
      <c r="H459" s="173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</row>
    <row r="460" ht="12.75" customHeight="1">
      <c r="A460" s="253"/>
      <c r="B460" s="254"/>
      <c r="C460" s="253"/>
      <c r="D460" s="253"/>
      <c r="E460" s="254"/>
      <c r="F460" s="253"/>
      <c r="G460" s="253"/>
      <c r="H460" s="173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</row>
    <row r="461" ht="12.75" customHeight="1">
      <c r="A461" s="253"/>
      <c r="B461" s="254"/>
      <c r="C461" s="253"/>
      <c r="D461" s="253"/>
      <c r="E461" s="254"/>
      <c r="F461" s="253"/>
      <c r="G461" s="253"/>
      <c r="H461" s="173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</row>
    <row r="462" ht="12.75" customHeight="1">
      <c r="A462" s="253"/>
      <c r="B462" s="254"/>
      <c r="C462" s="253"/>
      <c r="D462" s="253"/>
      <c r="E462" s="254"/>
      <c r="F462" s="253"/>
      <c r="G462" s="253"/>
      <c r="H462" s="173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</row>
    <row r="463" ht="12.75" customHeight="1">
      <c r="A463" s="253"/>
      <c r="B463" s="254"/>
      <c r="C463" s="253"/>
      <c r="D463" s="253"/>
      <c r="E463" s="254"/>
      <c r="F463" s="253"/>
      <c r="G463" s="253"/>
      <c r="H463" s="173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</row>
    <row r="464" ht="12.75" customHeight="1">
      <c r="A464" s="253"/>
      <c r="B464" s="254"/>
      <c r="C464" s="253"/>
      <c r="D464" s="253"/>
      <c r="E464" s="254"/>
      <c r="F464" s="253"/>
      <c r="G464" s="253"/>
      <c r="H464" s="173"/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</row>
    <row r="465" ht="12.75" customHeight="1">
      <c r="A465" s="253"/>
      <c r="B465" s="254"/>
      <c r="C465" s="253"/>
      <c r="D465" s="253"/>
      <c r="E465" s="254"/>
      <c r="F465" s="253"/>
      <c r="G465" s="253"/>
      <c r="H465" s="173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</row>
    <row r="466" ht="12.75" customHeight="1">
      <c r="A466" s="253"/>
      <c r="B466" s="254"/>
      <c r="C466" s="253"/>
      <c r="D466" s="253"/>
      <c r="E466" s="254"/>
      <c r="F466" s="253"/>
      <c r="G466" s="253"/>
      <c r="H466" s="173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</row>
    <row r="467" ht="12.75" customHeight="1">
      <c r="A467" s="253"/>
      <c r="B467" s="254"/>
      <c r="C467" s="253"/>
      <c r="D467" s="253"/>
      <c r="E467" s="254"/>
      <c r="F467" s="253"/>
      <c r="G467" s="253"/>
      <c r="H467" s="173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</row>
    <row r="468" ht="12.75" customHeight="1">
      <c r="A468" s="253"/>
      <c r="B468" s="254"/>
      <c r="C468" s="253"/>
      <c r="D468" s="253"/>
      <c r="E468" s="254"/>
      <c r="F468" s="253"/>
      <c r="G468" s="253"/>
      <c r="H468" s="173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</row>
    <row r="469" ht="12.75" customHeight="1">
      <c r="A469" s="253"/>
      <c r="B469" s="254"/>
      <c r="C469" s="253"/>
      <c r="D469" s="253"/>
      <c r="E469" s="254"/>
      <c r="F469" s="253"/>
      <c r="G469" s="253"/>
      <c r="H469" s="173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</row>
    <row r="470" ht="12.75" customHeight="1">
      <c r="A470" s="253"/>
      <c r="B470" s="254"/>
      <c r="C470" s="253"/>
      <c r="D470" s="253"/>
      <c r="E470" s="254"/>
      <c r="F470" s="253"/>
      <c r="G470" s="253"/>
      <c r="H470" s="173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</row>
    <row r="471" ht="12.75" customHeight="1">
      <c r="A471" s="253"/>
      <c r="B471" s="254"/>
      <c r="C471" s="253"/>
      <c r="D471" s="253"/>
      <c r="E471" s="254"/>
      <c r="F471" s="253"/>
      <c r="G471" s="253"/>
      <c r="H471" s="173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</row>
    <row r="472" ht="12.75" customHeight="1">
      <c r="A472" s="253"/>
      <c r="B472" s="254"/>
      <c r="C472" s="253"/>
      <c r="D472" s="253"/>
      <c r="E472" s="254"/>
      <c r="F472" s="253"/>
      <c r="G472" s="253"/>
      <c r="H472" s="173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</row>
    <row r="473" ht="12.75" customHeight="1">
      <c r="A473" s="253"/>
      <c r="B473" s="254"/>
      <c r="C473" s="253"/>
      <c r="D473" s="253"/>
      <c r="E473" s="254"/>
      <c r="F473" s="253"/>
      <c r="G473" s="253"/>
      <c r="H473" s="173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</row>
    <row r="474" ht="12.75" customHeight="1">
      <c r="A474" s="253"/>
      <c r="B474" s="254"/>
      <c r="C474" s="253"/>
      <c r="D474" s="253"/>
      <c r="E474" s="254"/>
      <c r="F474" s="253"/>
      <c r="G474" s="253"/>
      <c r="H474" s="173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</row>
    <row r="475" ht="12.75" customHeight="1">
      <c r="A475" s="253"/>
      <c r="B475" s="254"/>
      <c r="C475" s="253"/>
      <c r="D475" s="253"/>
      <c r="E475" s="254"/>
      <c r="F475" s="253"/>
      <c r="G475" s="253"/>
      <c r="H475" s="173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</row>
    <row r="476" ht="12.75" customHeight="1">
      <c r="A476" s="253"/>
      <c r="B476" s="254"/>
      <c r="C476" s="253"/>
      <c r="D476" s="253"/>
      <c r="E476" s="254"/>
      <c r="F476" s="253"/>
      <c r="G476" s="253"/>
      <c r="H476" s="173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</row>
    <row r="477" ht="12.75" customHeight="1">
      <c r="A477" s="253"/>
      <c r="B477" s="254"/>
      <c r="C477" s="253"/>
      <c r="D477" s="253"/>
      <c r="E477" s="254"/>
      <c r="F477" s="253"/>
      <c r="G477" s="253"/>
      <c r="H477" s="173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</row>
    <row r="478" ht="12.75" customHeight="1">
      <c r="A478" s="253"/>
      <c r="B478" s="254"/>
      <c r="C478" s="253"/>
      <c r="D478" s="253"/>
      <c r="E478" s="254"/>
      <c r="F478" s="253"/>
      <c r="G478" s="253"/>
      <c r="H478" s="173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</row>
    <row r="479" ht="12.75" customHeight="1">
      <c r="A479" s="253"/>
      <c r="B479" s="254"/>
      <c r="C479" s="253"/>
      <c r="D479" s="253"/>
      <c r="E479" s="254"/>
      <c r="F479" s="253"/>
      <c r="G479" s="253"/>
      <c r="H479" s="173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</row>
    <row r="480" ht="12.75" customHeight="1">
      <c r="A480" s="253"/>
      <c r="B480" s="254"/>
      <c r="C480" s="253"/>
      <c r="D480" s="253"/>
      <c r="E480" s="254"/>
      <c r="F480" s="253"/>
      <c r="G480" s="253"/>
      <c r="H480" s="173"/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</row>
    <row r="481" ht="12.75" customHeight="1">
      <c r="A481" s="253"/>
      <c r="B481" s="254"/>
      <c r="C481" s="253"/>
      <c r="D481" s="253"/>
      <c r="E481" s="254"/>
      <c r="F481" s="253"/>
      <c r="G481" s="253"/>
      <c r="H481" s="173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</row>
    <row r="482" ht="12.75" customHeight="1">
      <c r="A482" s="253"/>
      <c r="B482" s="254"/>
      <c r="C482" s="253"/>
      <c r="D482" s="253"/>
      <c r="E482" s="254"/>
      <c r="F482" s="253"/>
      <c r="G482" s="253"/>
      <c r="H482" s="173"/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</row>
    <row r="483" ht="12.75" customHeight="1">
      <c r="A483" s="253"/>
      <c r="B483" s="254"/>
      <c r="C483" s="253"/>
      <c r="D483" s="253"/>
      <c r="E483" s="254"/>
      <c r="F483" s="253"/>
      <c r="G483" s="253"/>
      <c r="H483" s="173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</row>
    <row r="484" ht="12.75" customHeight="1">
      <c r="A484" s="253"/>
      <c r="B484" s="254"/>
      <c r="C484" s="253"/>
      <c r="D484" s="253"/>
      <c r="E484" s="254"/>
      <c r="F484" s="253"/>
      <c r="G484" s="253"/>
      <c r="H484" s="173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</row>
    <row r="485" ht="12.75" customHeight="1">
      <c r="A485" s="253"/>
      <c r="B485" s="254"/>
      <c r="C485" s="253"/>
      <c r="D485" s="253"/>
      <c r="E485" s="254"/>
      <c r="F485" s="253"/>
      <c r="G485" s="253"/>
      <c r="H485" s="173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</row>
    <row r="486" ht="12.75" customHeight="1">
      <c r="A486" s="253"/>
      <c r="B486" s="254"/>
      <c r="C486" s="253"/>
      <c r="D486" s="253"/>
      <c r="E486" s="254"/>
      <c r="F486" s="253"/>
      <c r="G486" s="253"/>
      <c r="H486" s="173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</row>
    <row r="487" ht="12.75" customHeight="1">
      <c r="A487" s="253"/>
      <c r="B487" s="254"/>
      <c r="C487" s="253"/>
      <c r="D487" s="253"/>
      <c r="E487" s="254"/>
      <c r="F487" s="253"/>
      <c r="G487" s="253"/>
      <c r="H487" s="173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</row>
    <row r="488" ht="12.75" customHeight="1">
      <c r="A488" s="253"/>
      <c r="B488" s="254"/>
      <c r="C488" s="253"/>
      <c r="D488" s="253"/>
      <c r="E488" s="254"/>
      <c r="F488" s="253"/>
      <c r="G488" s="253"/>
      <c r="H488" s="173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</row>
    <row r="489" ht="12.75" customHeight="1">
      <c r="A489" s="253"/>
      <c r="B489" s="254"/>
      <c r="C489" s="253"/>
      <c r="D489" s="253"/>
      <c r="E489" s="254"/>
      <c r="F489" s="253"/>
      <c r="G489" s="253"/>
      <c r="H489" s="173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</row>
    <row r="490" ht="12.75" customHeight="1">
      <c r="A490" s="253"/>
      <c r="B490" s="254"/>
      <c r="C490" s="253"/>
      <c r="D490" s="253"/>
      <c r="E490" s="254"/>
      <c r="F490" s="253"/>
      <c r="G490" s="253"/>
      <c r="H490" s="173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</row>
    <row r="491" ht="12.75" customHeight="1">
      <c r="A491" s="253"/>
      <c r="B491" s="254"/>
      <c r="C491" s="253"/>
      <c r="D491" s="253"/>
      <c r="E491" s="254"/>
      <c r="F491" s="253"/>
      <c r="G491" s="253"/>
      <c r="H491" s="173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</row>
    <row r="492" ht="12.75" customHeight="1">
      <c r="A492" s="253"/>
      <c r="B492" s="254"/>
      <c r="C492" s="253"/>
      <c r="D492" s="253"/>
      <c r="E492" s="254"/>
      <c r="F492" s="253"/>
      <c r="G492" s="253"/>
      <c r="H492" s="173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</row>
    <row r="493" ht="12.75" customHeight="1">
      <c r="A493" s="253"/>
      <c r="B493" s="254"/>
      <c r="C493" s="253"/>
      <c r="D493" s="253"/>
      <c r="E493" s="254"/>
      <c r="F493" s="253"/>
      <c r="G493" s="253"/>
      <c r="H493" s="173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</row>
    <row r="494" ht="12.75" customHeight="1">
      <c r="A494" s="253"/>
      <c r="B494" s="254"/>
      <c r="C494" s="253"/>
      <c r="D494" s="253"/>
      <c r="E494" s="254"/>
      <c r="F494" s="253"/>
      <c r="G494" s="253"/>
      <c r="H494" s="173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</row>
    <row r="495" ht="12.75" customHeight="1">
      <c r="A495" s="253"/>
      <c r="B495" s="254"/>
      <c r="C495" s="253"/>
      <c r="D495" s="253"/>
      <c r="E495" s="254"/>
      <c r="F495" s="253"/>
      <c r="G495" s="253"/>
      <c r="H495" s="173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</row>
    <row r="496" ht="12.75" customHeight="1">
      <c r="A496" s="253"/>
      <c r="B496" s="254"/>
      <c r="C496" s="253"/>
      <c r="D496" s="253"/>
      <c r="E496" s="254"/>
      <c r="F496" s="253"/>
      <c r="G496" s="253"/>
      <c r="H496" s="173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</row>
    <row r="497" ht="12.75" customHeight="1">
      <c r="A497" s="253"/>
      <c r="B497" s="254"/>
      <c r="C497" s="253"/>
      <c r="D497" s="253"/>
      <c r="E497" s="254"/>
      <c r="F497" s="253"/>
      <c r="G497" s="253"/>
      <c r="H497" s="173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</row>
    <row r="498" ht="12.75" customHeight="1">
      <c r="A498" s="253"/>
      <c r="B498" s="254"/>
      <c r="C498" s="253"/>
      <c r="D498" s="253"/>
      <c r="E498" s="254"/>
      <c r="F498" s="253"/>
      <c r="G498" s="253"/>
      <c r="H498" s="173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</row>
    <row r="499" ht="12.75" customHeight="1">
      <c r="A499" s="253"/>
      <c r="B499" s="254"/>
      <c r="C499" s="253"/>
      <c r="D499" s="253"/>
      <c r="E499" s="254"/>
      <c r="F499" s="253"/>
      <c r="G499" s="253"/>
      <c r="H499" s="173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</row>
    <row r="500" ht="12.75" customHeight="1">
      <c r="A500" s="253"/>
      <c r="B500" s="254"/>
      <c r="C500" s="253"/>
      <c r="D500" s="253"/>
      <c r="E500" s="254"/>
      <c r="F500" s="253"/>
      <c r="G500" s="253"/>
      <c r="H500" s="173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</row>
    <row r="501" ht="12.75" customHeight="1">
      <c r="A501" s="253"/>
      <c r="B501" s="254"/>
      <c r="C501" s="253"/>
      <c r="D501" s="253"/>
      <c r="E501" s="254"/>
      <c r="F501" s="253"/>
      <c r="G501" s="253"/>
      <c r="H501" s="173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</row>
    <row r="502" ht="12.75" customHeight="1">
      <c r="A502" s="253"/>
      <c r="B502" s="254"/>
      <c r="C502" s="253"/>
      <c r="D502" s="253"/>
      <c r="E502" s="254"/>
      <c r="F502" s="253"/>
      <c r="G502" s="253"/>
      <c r="H502" s="173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</row>
    <row r="503" ht="12.75" customHeight="1">
      <c r="A503" s="253"/>
      <c r="B503" s="254"/>
      <c r="C503" s="253"/>
      <c r="D503" s="253"/>
      <c r="E503" s="254"/>
      <c r="F503" s="253"/>
      <c r="G503" s="253"/>
      <c r="H503" s="173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</row>
    <row r="504" ht="12.75" customHeight="1">
      <c r="A504" s="253"/>
      <c r="B504" s="254"/>
      <c r="C504" s="253"/>
      <c r="D504" s="253"/>
      <c r="E504" s="254"/>
      <c r="F504" s="253"/>
      <c r="G504" s="253"/>
      <c r="H504" s="173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</row>
    <row r="505" ht="12.75" customHeight="1">
      <c r="A505" s="253"/>
      <c r="B505" s="254"/>
      <c r="C505" s="253"/>
      <c r="D505" s="253"/>
      <c r="E505" s="254"/>
      <c r="F505" s="253"/>
      <c r="G505" s="253"/>
      <c r="H505" s="173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</row>
    <row r="506" ht="12.75" customHeight="1">
      <c r="A506" s="253"/>
      <c r="B506" s="254"/>
      <c r="C506" s="253"/>
      <c r="D506" s="253"/>
      <c r="E506" s="254"/>
      <c r="F506" s="253"/>
      <c r="G506" s="253"/>
      <c r="H506" s="173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</row>
    <row r="507" ht="12.75" customHeight="1">
      <c r="A507" s="253"/>
      <c r="B507" s="254"/>
      <c r="C507" s="253"/>
      <c r="D507" s="253"/>
      <c r="E507" s="254"/>
      <c r="F507" s="253"/>
      <c r="G507" s="253"/>
      <c r="H507" s="173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</row>
    <row r="508" ht="12.75" customHeight="1">
      <c r="A508" s="253"/>
      <c r="B508" s="254"/>
      <c r="C508" s="253"/>
      <c r="D508" s="253"/>
      <c r="E508" s="254"/>
      <c r="F508" s="253"/>
      <c r="G508" s="253"/>
      <c r="H508" s="173"/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</row>
    <row r="509" ht="12.75" customHeight="1">
      <c r="A509" s="253"/>
      <c r="B509" s="254"/>
      <c r="C509" s="253"/>
      <c r="D509" s="253"/>
      <c r="E509" s="254"/>
      <c r="F509" s="253"/>
      <c r="G509" s="253"/>
      <c r="H509" s="173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</row>
    <row r="510" ht="12.75" customHeight="1">
      <c r="A510" s="253"/>
      <c r="B510" s="254"/>
      <c r="C510" s="253"/>
      <c r="D510" s="253"/>
      <c r="E510" s="254"/>
      <c r="F510" s="253"/>
      <c r="G510" s="253"/>
      <c r="H510" s="173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</row>
    <row r="511" ht="12.75" customHeight="1">
      <c r="A511" s="253"/>
      <c r="B511" s="254"/>
      <c r="C511" s="253"/>
      <c r="D511" s="253"/>
      <c r="E511" s="254"/>
      <c r="F511" s="253"/>
      <c r="G511" s="253"/>
      <c r="H511" s="173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</row>
    <row r="512" ht="12.75" customHeight="1">
      <c r="A512" s="253"/>
      <c r="B512" s="254"/>
      <c r="C512" s="253"/>
      <c r="D512" s="253"/>
      <c r="E512" s="254"/>
      <c r="F512" s="253"/>
      <c r="G512" s="253"/>
      <c r="H512" s="173"/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</row>
    <row r="513" ht="12.75" customHeight="1">
      <c r="A513" s="253"/>
      <c r="B513" s="254"/>
      <c r="C513" s="253"/>
      <c r="D513" s="253"/>
      <c r="E513" s="254"/>
      <c r="F513" s="253"/>
      <c r="G513" s="253"/>
      <c r="H513" s="173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</row>
    <row r="514" ht="12.75" customHeight="1">
      <c r="A514" s="253"/>
      <c r="B514" s="254"/>
      <c r="C514" s="253"/>
      <c r="D514" s="253"/>
      <c r="E514" s="254"/>
      <c r="F514" s="253"/>
      <c r="G514" s="253"/>
      <c r="H514" s="173"/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</row>
    <row r="515" ht="12.75" customHeight="1">
      <c r="A515" s="253"/>
      <c r="B515" s="254"/>
      <c r="C515" s="253"/>
      <c r="D515" s="253"/>
      <c r="E515" s="254"/>
      <c r="F515" s="253"/>
      <c r="G515" s="253"/>
      <c r="H515" s="173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</row>
    <row r="516" ht="12.75" customHeight="1">
      <c r="A516" s="253"/>
      <c r="B516" s="254"/>
      <c r="C516" s="253"/>
      <c r="D516" s="253"/>
      <c r="E516" s="254"/>
      <c r="F516" s="253"/>
      <c r="G516" s="253"/>
      <c r="H516" s="173"/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</row>
    <row r="517" ht="12.75" customHeight="1">
      <c r="A517" s="253"/>
      <c r="B517" s="254"/>
      <c r="C517" s="253"/>
      <c r="D517" s="253"/>
      <c r="E517" s="254"/>
      <c r="F517" s="253"/>
      <c r="G517" s="253"/>
      <c r="H517" s="173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</row>
    <row r="518" ht="12.75" customHeight="1">
      <c r="A518" s="253"/>
      <c r="B518" s="254"/>
      <c r="C518" s="253"/>
      <c r="D518" s="253"/>
      <c r="E518" s="254"/>
      <c r="F518" s="253"/>
      <c r="G518" s="253"/>
      <c r="H518" s="173"/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</row>
    <row r="519" ht="12.75" customHeight="1">
      <c r="A519" s="253"/>
      <c r="B519" s="254"/>
      <c r="C519" s="253"/>
      <c r="D519" s="253"/>
      <c r="E519" s="254"/>
      <c r="F519" s="253"/>
      <c r="G519" s="253"/>
      <c r="H519" s="173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</row>
    <row r="520" ht="12.75" customHeight="1">
      <c r="A520" s="253"/>
      <c r="B520" s="254"/>
      <c r="C520" s="253"/>
      <c r="D520" s="253"/>
      <c r="E520" s="254"/>
      <c r="F520" s="253"/>
      <c r="G520" s="253"/>
      <c r="H520" s="173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</row>
    <row r="521" ht="12.75" customHeight="1">
      <c r="A521" s="253"/>
      <c r="B521" s="254"/>
      <c r="C521" s="253"/>
      <c r="D521" s="253"/>
      <c r="E521" s="254"/>
      <c r="F521" s="253"/>
      <c r="G521" s="253"/>
      <c r="H521" s="173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</row>
    <row r="522" ht="12.75" customHeight="1">
      <c r="A522" s="253"/>
      <c r="B522" s="254"/>
      <c r="C522" s="253"/>
      <c r="D522" s="253"/>
      <c r="E522" s="254"/>
      <c r="F522" s="253"/>
      <c r="G522" s="253"/>
      <c r="H522" s="173"/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</row>
    <row r="523" ht="12.75" customHeight="1">
      <c r="A523" s="253"/>
      <c r="B523" s="254"/>
      <c r="C523" s="253"/>
      <c r="D523" s="253"/>
      <c r="E523" s="254"/>
      <c r="F523" s="253"/>
      <c r="G523" s="253"/>
      <c r="H523" s="173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</row>
    <row r="524" ht="12.75" customHeight="1">
      <c r="A524" s="253"/>
      <c r="B524" s="254"/>
      <c r="C524" s="253"/>
      <c r="D524" s="253"/>
      <c r="E524" s="254"/>
      <c r="F524" s="253"/>
      <c r="G524" s="253"/>
      <c r="H524" s="173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</row>
    <row r="525" ht="12.75" customHeight="1">
      <c r="A525" s="253"/>
      <c r="B525" s="254"/>
      <c r="C525" s="253"/>
      <c r="D525" s="253"/>
      <c r="E525" s="254"/>
      <c r="F525" s="253"/>
      <c r="G525" s="253"/>
      <c r="H525" s="173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</row>
    <row r="526" ht="12.75" customHeight="1">
      <c r="A526" s="253"/>
      <c r="B526" s="254"/>
      <c r="C526" s="253"/>
      <c r="D526" s="253"/>
      <c r="E526" s="254"/>
      <c r="F526" s="253"/>
      <c r="G526" s="253"/>
      <c r="H526" s="173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</row>
    <row r="527" ht="12.75" customHeight="1">
      <c r="A527" s="253"/>
      <c r="B527" s="254"/>
      <c r="C527" s="253"/>
      <c r="D527" s="253"/>
      <c r="E527" s="254"/>
      <c r="F527" s="253"/>
      <c r="G527" s="253"/>
      <c r="H527" s="173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</row>
    <row r="528" ht="12.75" customHeight="1">
      <c r="A528" s="253"/>
      <c r="B528" s="254"/>
      <c r="C528" s="253"/>
      <c r="D528" s="253"/>
      <c r="E528" s="254"/>
      <c r="F528" s="253"/>
      <c r="G528" s="253"/>
      <c r="H528" s="173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</row>
    <row r="529" ht="12.75" customHeight="1">
      <c r="A529" s="253"/>
      <c r="B529" s="254"/>
      <c r="C529" s="253"/>
      <c r="D529" s="253"/>
      <c r="E529" s="254"/>
      <c r="F529" s="253"/>
      <c r="G529" s="253"/>
      <c r="H529" s="173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</row>
    <row r="530" ht="12.75" customHeight="1">
      <c r="A530" s="253"/>
      <c r="B530" s="254"/>
      <c r="C530" s="253"/>
      <c r="D530" s="253"/>
      <c r="E530" s="254"/>
      <c r="F530" s="253"/>
      <c r="G530" s="253"/>
      <c r="H530" s="173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</row>
    <row r="531" ht="12.75" customHeight="1">
      <c r="A531" s="253"/>
      <c r="B531" s="254"/>
      <c r="C531" s="253"/>
      <c r="D531" s="253"/>
      <c r="E531" s="254"/>
      <c r="F531" s="253"/>
      <c r="G531" s="253"/>
      <c r="H531" s="173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</row>
    <row r="532" ht="12.75" customHeight="1">
      <c r="A532" s="253"/>
      <c r="B532" s="254"/>
      <c r="C532" s="253"/>
      <c r="D532" s="253"/>
      <c r="E532" s="254"/>
      <c r="F532" s="253"/>
      <c r="G532" s="253"/>
      <c r="H532" s="173"/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</row>
    <row r="533" ht="12.75" customHeight="1">
      <c r="A533" s="253"/>
      <c r="B533" s="254"/>
      <c r="C533" s="253"/>
      <c r="D533" s="253"/>
      <c r="E533" s="254"/>
      <c r="F533" s="253"/>
      <c r="G533" s="253"/>
      <c r="H533" s="173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</row>
    <row r="534" ht="12.75" customHeight="1">
      <c r="A534" s="253"/>
      <c r="B534" s="254"/>
      <c r="C534" s="253"/>
      <c r="D534" s="253"/>
      <c r="E534" s="254"/>
      <c r="F534" s="253"/>
      <c r="G534" s="253"/>
      <c r="H534" s="173"/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</row>
    <row r="535" ht="12.75" customHeight="1">
      <c r="A535" s="253"/>
      <c r="B535" s="254"/>
      <c r="C535" s="253"/>
      <c r="D535" s="253"/>
      <c r="E535" s="254"/>
      <c r="F535" s="253"/>
      <c r="G535" s="253"/>
      <c r="H535" s="173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</row>
    <row r="536" ht="12.75" customHeight="1">
      <c r="A536" s="253"/>
      <c r="B536" s="254"/>
      <c r="C536" s="253"/>
      <c r="D536" s="253"/>
      <c r="E536" s="254"/>
      <c r="F536" s="253"/>
      <c r="G536" s="253"/>
      <c r="H536" s="173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</row>
    <row r="537" ht="12.75" customHeight="1">
      <c r="A537" s="253"/>
      <c r="B537" s="254"/>
      <c r="C537" s="253"/>
      <c r="D537" s="253"/>
      <c r="E537" s="254"/>
      <c r="F537" s="253"/>
      <c r="G537" s="253"/>
      <c r="H537" s="173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</row>
    <row r="538" ht="12.75" customHeight="1">
      <c r="A538" s="253"/>
      <c r="B538" s="254"/>
      <c r="C538" s="253"/>
      <c r="D538" s="253"/>
      <c r="E538" s="254"/>
      <c r="F538" s="253"/>
      <c r="G538" s="253"/>
      <c r="H538" s="173"/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</row>
    <row r="539" ht="12.75" customHeight="1">
      <c r="A539" s="253"/>
      <c r="B539" s="254"/>
      <c r="C539" s="253"/>
      <c r="D539" s="253"/>
      <c r="E539" s="254"/>
      <c r="F539" s="253"/>
      <c r="G539" s="253"/>
      <c r="H539" s="173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</row>
    <row r="540" ht="12.75" customHeight="1">
      <c r="A540" s="253"/>
      <c r="B540" s="254"/>
      <c r="C540" s="253"/>
      <c r="D540" s="253"/>
      <c r="E540" s="254"/>
      <c r="F540" s="253"/>
      <c r="G540" s="253"/>
      <c r="H540" s="173"/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</row>
    <row r="541" ht="12.75" customHeight="1">
      <c r="A541" s="253"/>
      <c r="B541" s="254"/>
      <c r="C541" s="253"/>
      <c r="D541" s="253"/>
      <c r="E541" s="254"/>
      <c r="F541" s="253"/>
      <c r="G541" s="253"/>
      <c r="H541" s="173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</row>
    <row r="542" ht="12.75" customHeight="1">
      <c r="A542" s="253"/>
      <c r="B542" s="254"/>
      <c r="C542" s="253"/>
      <c r="D542" s="253"/>
      <c r="E542" s="254"/>
      <c r="F542" s="253"/>
      <c r="G542" s="253"/>
      <c r="H542" s="173"/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</row>
    <row r="543" ht="12.75" customHeight="1">
      <c r="A543" s="253"/>
      <c r="B543" s="254"/>
      <c r="C543" s="253"/>
      <c r="D543" s="253"/>
      <c r="E543" s="254"/>
      <c r="F543" s="253"/>
      <c r="G543" s="253"/>
      <c r="H543" s="173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</row>
    <row r="544" ht="12.75" customHeight="1">
      <c r="A544" s="253"/>
      <c r="B544" s="254"/>
      <c r="C544" s="253"/>
      <c r="D544" s="253"/>
      <c r="E544" s="254"/>
      <c r="F544" s="253"/>
      <c r="G544" s="253"/>
      <c r="H544" s="173"/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</row>
    <row r="545" ht="12.75" customHeight="1">
      <c r="A545" s="253"/>
      <c r="B545" s="254"/>
      <c r="C545" s="253"/>
      <c r="D545" s="253"/>
      <c r="E545" s="254"/>
      <c r="F545" s="253"/>
      <c r="G545" s="253"/>
      <c r="H545" s="173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</row>
    <row r="546" ht="12.75" customHeight="1">
      <c r="A546" s="253"/>
      <c r="B546" s="254"/>
      <c r="C546" s="253"/>
      <c r="D546" s="253"/>
      <c r="E546" s="254"/>
      <c r="F546" s="253"/>
      <c r="G546" s="253"/>
      <c r="H546" s="173"/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</row>
    <row r="547" ht="12.75" customHeight="1">
      <c r="A547" s="253"/>
      <c r="B547" s="254"/>
      <c r="C547" s="253"/>
      <c r="D547" s="253"/>
      <c r="E547" s="254"/>
      <c r="F547" s="253"/>
      <c r="G547" s="253"/>
      <c r="H547" s="173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</row>
    <row r="548" ht="12.75" customHeight="1">
      <c r="A548" s="253"/>
      <c r="B548" s="254"/>
      <c r="C548" s="253"/>
      <c r="D548" s="253"/>
      <c r="E548" s="254"/>
      <c r="F548" s="253"/>
      <c r="G548" s="253"/>
      <c r="H548" s="173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</row>
    <row r="549" ht="12.75" customHeight="1">
      <c r="A549" s="253"/>
      <c r="B549" s="254"/>
      <c r="C549" s="253"/>
      <c r="D549" s="253"/>
      <c r="E549" s="254"/>
      <c r="F549" s="253"/>
      <c r="G549" s="253"/>
      <c r="H549" s="173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</row>
    <row r="550" ht="12.75" customHeight="1">
      <c r="A550" s="253"/>
      <c r="B550" s="254"/>
      <c r="C550" s="253"/>
      <c r="D550" s="253"/>
      <c r="E550" s="254"/>
      <c r="F550" s="253"/>
      <c r="G550" s="253"/>
      <c r="H550" s="173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</row>
    <row r="551" ht="12.75" customHeight="1">
      <c r="A551" s="253"/>
      <c r="B551" s="254"/>
      <c r="C551" s="253"/>
      <c r="D551" s="253"/>
      <c r="E551" s="254"/>
      <c r="F551" s="253"/>
      <c r="G551" s="253"/>
      <c r="H551" s="173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</row>
    <row r="552" ht="12.75" customHeight="1">
      <c r="A552" s="253"/>
      <c r="B552" s="254"/>
      <c r="C552" s="253"/>
      <c r="D552" s="253"/>
      <c r="E552" s="254"/>
      <c r="F552" s="253"/>
      <c r="G552" s="253"/>
      <c r="H552" s="173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</row>
    <row r="553" ht="12.75" customHeight="1">
      <c r="A553" s="253"/>
      <c r="B553" s="254"/>
      <c r="C553" s="253"/>
      <c r="D553" s="253"/>
      <c r="E553" s="254"/>
      <c r="F553" s="253"/>
      <c r="G553" s="253"/>
      <c r="H553" s="173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</row>
    <row r="554" ht="12.75" customHeight="1">
      <c r="A554" s="253"/>
      <c r="B554" s="254"/>
      <c r="C554" s="253"/>
      <c r="D554" s="253"/>
      <c r="E554" s="254"/>
      <c r="F554" s="253"/>
      <c r="G554" s="253"/>
      <c r="H554" s="173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</row>
    <row r="555" ht="12.75" customHeight="1">
      <c r="A555" s="253"/>
      <c r="B555" s="254"/>
      <c r="C555" s="253"/>
      <c r="D555" s="253"/>
      <c r="E555" s="254"/>
      <c r="F555" s="253"/>
      <c r="G555" s="253"/>
      <c r="H555" s="173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</row>
    <row r="556" ht="12.75" customHeight="1">
      <c r="A556" s="253"/>
      <c r="B556" s="254"/>
      <c r="C556" s="253"/>
      <c r="D556" s="253"/>
      <c r="E556" s="254"/>
      <c r="F556" s="253"/>
      <c r="G556" s="253"/>
      <c r="H556" s="173"/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</row>
    <row r="557" ht="12.75" customHeight="1">
      <c r="A557" s="253"/>
      <c r="B557" s="254"/>
      <c r="C557" s="253"/>
      <c r="D557" s="253"/>
      <c r="E557" s="254"/>
      <c r="F557" s="253"/>
      <c r="G557" s="253"/>
      <c r="H557" s="173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</row>
    <row r="558" ht="12.75" customHeight="1">
      <c r="A558" s="253"/>
      <c r="B558" s="254"/>
      <c r="C558" s="253"/>
      <c r="D558" s="253"/>
      <c r="E558" s="254"/>
      <c r="F558" s="253"/>
      <c r="G558" s="253"/>
      <c r="H558" s="173"/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</row>
    <row r="559" ht="12.75" customHeight="1">
      <c r="A559" s="253"/>
      <c r="B559" s="254"/>
      <c r="C559" s="253"/>
      <c r="D559" s="253"/>
      <c r="E559" s="254"/>
      <c r="F559" s="253"/>
      <c r="G559" s="253"/>
      <c r="H559" s="173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</row>
    <row r="560" ht="12.75" customHeight="1">
      <c r="A560" s="253"/>
      <c r="B560" s="254"/>
      <c r="C560" s="253"/>
      <c r="D560" s="253"/>
      <c r="E560" s="254"/>
      <c r="F560" s="253"/>
      <c r="G560" s="253"/>
      <c r="H560" s="173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4"/>
      <c r="U560" s="174"/>
      <c r="V560" s="174"/>
      <c r="W560" s="174"/>
      <c r="X560" s="174"/>
      <c r="Y560" s="174"/>
      <c r="Z560" s="174"/>
    </row>
    <row r="561" ht="12.75" customHeight="1">
      <c r="A561" s="253"/>
      <c r="B561" s="254"/>
      <c r="C561" s="253"/>
      <c r="D561" s="253"/>
      <c r="E561" s="254"/>
      <c r="F561" s="253"/>
      <c r="G561" s="253"/>
      <c r="H561" s="173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/>
      <c r="V561" s="174"/>
      <c r="W561" s="174"/>
      <c r="X561" s="174"/>
      <c r="Y561" s="174"/>
      <c r="Z561" s="174"/>
    </row>
    <row r="562" ht="12.75" customHeight="1">
      <c r="A562" s="253"/>
      <c r="B562" s="254"/>
      <c r="C562" s="253"/>
      <c r="D562" s="253"/>
      <c r="E562" s="254"/>
      <c r="F562" s="253"/>
      <c r="G562" s="253"/>
      <c r="H562" s="173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</row>
    <row r="563" ht="12.75" customHeight="1">
      <c r="A563" s="253"/>
      <c r="B563" s="254"/>
      <c r="C563" s="253"/>
      <c r="D563" s="253"/>
      <c r="E563" s="254"/>
      <c r="F563" s="253"/>
      <c r="G563" s="253"/>
      <c r="H563" s="173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</row>
    <row r="564" ht="12.75" customHeight="1">
      <c r="A564" s="253"/>
      <c r="B564" s="254"/>
      <c r="C564" s="253"/>
      <c r="D564" s="253"/>
      <c r="E564" s="254"/>
      <c r="F564" s="253"/>
      <c r="G564" s="253"/>
      <c r="H564" s="173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</row>
    <row r="565" ht="12.75" customHeight="1">
      <c r="A565" s="253"/>
      <c r="B565" s="254"/>
      <c r="C565" s="253"/>
      <c r="D565" s="253"/>
      <c r="E565" s="254"/>
      <c r="F565" s="253"/>
      <c r="G565" s="253"/>
      <c r="H565" s="173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</row>
    <row r="566" ht="12.75" customHeight="1">
      <c r="A566" s="253"/>
      <c r="B566" s="254"/>
      <c r="C566" s="253"/>
      <c r="D566" s="253"/>
      <c r="E566" s="254"/>
      <c r="F566" s="253"/>
      <c r="G566" s="253"/>
      <c r="H566" s="173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174"/>
      <c r="T566" s="174"/>
      <c r="U566" s="174"/>
      <c r="V566" s="174"/>
      <c r="W566" s="174"/>
      <c r="X566" s="174"/>
      <c r="Y566" s="174"/>
      <c r="Z566" s="174"/>
    </row>
    <row r="567" ht="12.75" customHeight="1">
      <c r="A567" s="253"/>
      <c r="B567" s="254"/>
      <c r="C567" s="253"/>
      <c r="D567" s="253"/>
      <c r="E567" s="254"/>
      <c r="F567" s="253"/>
      <c r="G567" s="253"/>
      <c r="H567" s="173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/>
      <c r="V567" s="174"/>
      <c r="W567" s="174"/>
      <c r="X567" s="174"/>
      <c r="Y567" s="174"/>
      <c r="Z567" s="174"/>
    </row>
    <row r="568" ht="12.75" customHeight="1">
      <c r="A568" s="253"/>
      <c r="B568" s="254"/>
      <c r="C568" s="253"/>
      <c r="D568" s="253"/>
      <c r="E568" s="254"/>
      <c r="F568" s="253"/>
      <c r="G568" s="253"/>
      <c r="H568" s="173"/>
      <c r="I568" s="174"/>
      <c r="J568" s="174"/>
      <c r="K568" s="174"/>
      <c r="L568" s="174"/>
      <c r="M568" s="174"/>
      <c r="N568" s="174"/>
      <c r="O568" s="174"/>
      <c r="P568" s="174"/>
      <c r="Q568" s="174"/>
      <c r="R568" s="174"/>
      <c r="S568" s="174"/>
      <c r="T568" s="174"/>
      <c r="U568" s="174"/>
      <c r="V568" s="174"/>
      <c r="W568" s="174"/>
      <c r="X568" s="174"/>
      <c r="Y568" s="174"/>
      <c r="Z568" s="174"/>
    </row>
    <row r="569" ht="12.75" customHeight="1">
      <c r="A569" s="253"/>
      <c r="B569" s="254"/>
      <c r="C569" s="253"/>
      <c r="D569" s="253"/>
      <c r="E569" s="254"/>
      <c r="F569" s="253"/>
      <c r="G569" s="253"/>
      <c r="H569" s="173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/>
      <c r="V569" s="174"/>
      <c r="W569" s="174"/>
      <c r="X569" s="174"/>
      <c r="Y569" s="174"/>
      <c r="Z569" s="174"/>
    </row>
    <row r="570" ht="12.75" customHeight="1">
      <c r="A570" s="253"/>
      <c r="B570" s="254"/>
      <c r="C570" s="253"/>
      <c r="D570" s="253"/>
      <c r="E570" s="254"/>
      <c r="F570" s="253"/>
      <c r="G570" s="253"/>
      <c r="H570" s="173"/>
      <c r="I570" s="174"/>
      <c r="J570" s="174"/>
      <c r="K570" s="174"/>
      <c r="L570" s="174"/>
      <c r="M570" s="174"/>
      <c r="N570" s="174"/>
      <c r="O570" s="174"/>
      <c r="P570" s="174"/>
      <c r="Q570" s="174"/>
      <c r="R570" s="174"/>
      <c r="S570" s="174"/>
      <c r="T570" s="174"/>
      <c r="U570" s="174"/>
      <c r="V570" s="174"/>
      <c r="W570" s="174"/>
      <c r="X570" s="174"/>
      <c r="Y570" s="174"/>
      <c r="Z570" s="174"/>
    </row>
    <row r="571" ht="12.75" customHeight="1">
      <c r="A571" s="253"/>
      <c r="B571" s="254"/>
      <c r="C571" s="253"/>
      <c r="D571" s="253"/>
      <c r="E571" s="254"/>
      <c r="F571" s="253"/>
      <c r="G571" s="253"/>
      <c r="H571" s="173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/>
      <c r="V571" s="174"/>
      <c r="W571" s="174"/>
      <c r="X571" s="174"/>
      <c r="Y571" s="174"/>
      <c r="Z571" s="174"/>
    </row>
    <row r="572" ht="12.75" customHeight="1">
      <c r="A572" s="253"/>
      <c r="B572" s="254"/>
      <c r="C572" s="253"/>
      <c r="D572" s="253"/>
      <c r="E572" s="254"/>
      <c r="F572" s="253"/>
      <c r="G572" s="253"/>
      <c r="H572" s="173"/>
      <c r="I572" s="174"/>
      <c r="J572" s="174"/>
      <c r="K572" s="174"/>
      <c r="L572" s="174"/>
      <c r="M572" s="174"/>
      <c r="N572" s="174"/>
      <c r="O572" s="174"/>
      <c r="P572" s="174"/>
      <c r="Q572" s="174"/>
      <c r="R572" s="174"/>
      <c r="S572" s="174"/>
      <c r="T572" s="174"/>
      <c r="U572" s="174"/>
      <c r="V572" s="174"/>
      <c r="W572" s="174"/>
      <c r="X572" s="174"/>
      <c r="Y572" s="174"/>
      <c r="Z572" s="174"/>
    </row>
    <row r="573" ht="12.75" customHeight="1">
      <c r="A573" s="253"/>
      <c r="B573" s="254"/>
      <c r="C573" s="253"/>
      <c r="D573" s="253"/>
      <c r="E573" s="254"/>
      <c r="F573" s="253"/>
      <c r="G573" s="253"/>
      <c r="H573" s="173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/>
      <c r="V573" s="174"/>
      <c r="W573" s="174"/>
      <c r="X573" s="174"/>
      <c r="Y573" s="174"/>
      <c r="Z573" s="174"/>
    </row>
    <row r="574" ht="12.75" customHeight="1">
      <c r="A574" s="253"/>
      <c r="B574" s="254"/>
      <c r="C574" s="253"/>
      <c r="D574" s="253"/>
      <c r="E574" s="254"/>
      <c r="F574" s="253"/>
      <c r="G574" s="253"/>
      <c r="H574" s="173"/>
      <c r="I574" s="174"/>
      <c r="J574" s="174"/>
      <c r="K574" s="174"/>
      <c r="L574" s="174"/>
      <c r="M574" s="174"/>
      <c r="N574" s="174"/>
      <c r="O574" s="174"/>
      <c r="P574" s="174"/>
      <c r="Q574" s="174"/>
      <c r="R574" s="174"/>
      <c r="S574" s="174"/>
      <c r="T574" s="174"/>
      <c r="U574" s="174"/>
      <c r="V574" s="174"/>
      <c r="W574" s="174"/>
      <c r="X574" s="174"/>
      <c r="Y574" s="174"/>
      <c r="Z574" s="174"/>
    </row>
    <row r="575" ht="12.75" customHeight="1">
      <c r="A575" s="253"/>
      <c r="B575" s="254"/>
      <c r="C575" s="253"/>
      <c r="D575" s="253"/>
      <c r="E575" s="254"/>
      <c r="F575" s="253"/>
      <c r="G575" s="253"/>
      <c r="H575" s="173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/>
      <c r="V575" s="174"/>
      <c r="W575" s="174"/>
      <c r="X575" s="174"/>
      <c r="Y575" s="174"/>
      <c r="Z575" s="174"/>
    </row>
    <row r="576" ht="12.75" customHeight="1">
      <c r="A576" s="253"/>
      <c r="B576" s="254"/>
      <c r="C576" s="253"/>
      <c r="D576" s="253"/>
      <c r="E576" s="254"/>
      <c r="F576" s="253"/>
      <c r="G576" s="253"/>
      <c r="H576" s="173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</row>
    <row r="577" ht="12.75" customHeight="1">
      <c r="A577" s="253"/>
      <c r="B577" s="254"/>
      <c r="C577" s="253"/>
      <c r="D577" s="253"/>
      <c r="E577" s="254"/>
      <c r="F577" s="253"/>
      <c r="G577" s="253"/>
      <c r="H577" s="173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</row>
    <row r="578" ht="12.75" customHeight="1">
      <c r="A578" s="253"/>
      <c r="B578" s="254"/>
      <c r="C578" s="253"/>
      <c r="D578" s="253"/>
      <c r="E578" s="254"/>
      <c r="F578" s="253"/>
      <c r="G578" s="253"/>
      <c r="H578" s="173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</row>
    <row r="579" ht="12.75" customHeight="1">
      <c r="A579" s="253"/>
      <c r="B579" s="254"/>
      <c r="C579" s="253"/>
      <c r="D579" s="253"/>
      <c r="E579" s="254"/>
      <c r="F579" s="253"/>
      <c r="G579" s="253"/>
      <c r="H579" s="173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</row>
    <row r="580" ht="12.75" customHeight="1">
      <c r="A580" s="253"/>
      <c r="B580" s="254"/>
      <c r="C580" s="253"/>
      <c r="D580" s="253"/>
      <c r="E580" s="254"/>
      <c r="F580" s="253"/>
      <c r="G580" s="253"/>
      <c r="H580" s="173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174"/>
      <c r="T580" s="174"/>
      <c r="U580" s="174"/>
      <c r="V580" s="174"/>
      <c r="W580" s="174"/>
      <c r="X580" s="174"/>
      <c r="Y580" s="174"/>
      <c r="Z580" s="174"/>
    </row>
    <row r="581" ht="12.75" customHeight="1">
      <c r="A581" s="253"/>
      <c r="B581" s="254"/>
      <c r="C581" s="253"/>
      <c r="D581" s="253"/>
      <c r="E581" s="254"/>
      <c r="F581" s="253"/>
      <c r="G581" s="253"/>
      <c r="H581" s="173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/>
      <c r="V581" s="174"/>
      <c r="W581" s="174"/>
      <c r="X581" s="174"/>
      <c r="Y581" s="174"/>
      <c r="Z581" s="174"/>
    </row>
    <row r="582" ht="12.75" customHeight="1">
      <c r="A582" s="253"/>
      <c r="B582" s="254"/>
      <c r="C582" s="253"/>
      <c r="D582" s="253"/>
      <c r="E582" s="254"/>
      <c r="F582" s="253"/>
      <c r="G582" s="253"/>
      <c r="H582" s="173"/>
      <c r="I582" s="174"/>
      <c r="J582" s="174"/>
      <c r="K582" s="174"/>
      <c r="L582" s="174"/>
      <c r="M582" s="174"/>
      <c r="N582" s="174"/>
      <c r="O582" s="174"/>
      <c r="P582" s="174"/>
      <c r="Q582" s="174"/>
      <c r="R582" s="174"/>
      <c r="S582" s="174"/>
      <c r="T582" s="174"/>
      <c r="U582" s="174"/>
      <c r="V582" s="174"/>
      <c r="W582" s="174"/>
      <c r="X582" s="174"/>
      <c r="Y582" s="174"/>
      <c r="Z582" s="174"/>
    </row>
    <row r="583" ht="12.75" customHeight="1">
      <c r="A583" s="253"/>
      <c r="B583" s="254"/>
      <c r="C583" s="253"/>
      <c r="D583" s="253"/>
      <c r="E583" s="254"/>
      <c r="F583" s="253"/>
      <c r="G583" s="253"/>
      <c r="H583" s="173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/>
      <c r="V583" s="174"/>
      <c r="W583" s="174"/>
      <c r="X583" s="174"/>
      <c r="Y583" s="174"/>
      <c r="Z583" s="174"/>
    </row>
    <row r="584" ht="12.75" customHeight="1">
      <c r="A584" s="253"/>
      <c r="B584" s="254"/>
      <c r="C584" s="253"/>
      <c r="D584" s="253"/>
      <c r="E584" s="254"/>
      <c r="F584" s="253"/>
      <c r="G584" s="253"/>
      <c r="H584" s="173"/>
      <c r="I584" s="174"/>
      <c r="J584" s="174"/>
      <c r="K584" s="174"/>
      <c r="L584" s="174"/>
      <c r="M584" s="174"/>
      <c r="N584" s="174"/>
      <c r="O584" s="174"/>
      <c r="P584" s="174"/>
      <c r="Q584" s="174"/>
      <c r="R584" s="174"/>
      <c r="S584" s="174"/>
      <c r="T584" s="174"/>
      <c r="U584" s="174"/>
      <c r="V584" s="174"/>
      <c r="W584" s="174"/>
      <c r="X584" s="174"/>
      <c r="Y584" s="174"/>
      <c r="Z584" s="174"/>
    </row>
    <row r="585" ht="12.75" customHeight="1">
      <c r="A585" s="253"/>
      <c r="B585" s="254"/>
      <c r="C585" s="253"/>
      <c r="D585" s="253"/>
      <c r="E585" s="254"/>
      <c r="F585" s="253"/>
      <c r="G585" s="253"/>
      <c r="H585" s="173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/>
      <c r="V585" s="174"/>
      <c r="W585" s="174"/>
      <c r="X585" s="174"/>
      <c r="Y585" s="174"/>
      <c r="Z585" s="174"/>
    </row>
    <row r="586" ht="12.75" customHeight="1">
      <c r="A586" s="253"/>
      <c r="B586" s="254"/>
      <c r="C586" s="253"/>
      <c r="D586" s="253"/>
      <c r="E586" s="254"/>
      <c r="F586" s="253"/>
      <c r="G586" s="253"/>
      <c r="H586" s="173"/>
      <c r="I586" s="174"/>
      <c r="J586" s="174"/>
      <c r="K586" s="174"/>
      <c r="L586" s="174"/>
      <c r="M586" s="174"/>
      <c r="N586" s="174"/>
      <c r="O586" s="174"/>
      <c r="P586" s="174"/>
      <c r="Q586" s="174"/>
      <c r="R586" s="174"/>
      <c r="S586" s="174"/>
      <c r="T586" s="174"/>
      <c r="U586" s="174"/>
      <c r="V586" s="174"/>
      <c r="W586" s="174"/>
      <c r="X586" s="174"/>
      <c r="Y586" s="174"/>
      <c r="Z586" s="174"/>
    </row>
    <row r="587" ht="12.75" customHeight="1">
      <c r="A587" s="253"/>
      <c r="B587" s="254"/>
      <c r="C587" s="253"/>
      <c r="D587" s="253"/>
      <c r="E587" s="254"/>
      <c r="F587" s="253"/>
      <c r="G587" s="253"/>
      <c r="H587" s="173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/>
      <c r="V587" s="174"/>
      <c r="W587" s="174"/>
      <c r="X587" s="174"/>
      <c r="Y587" s="174"/>
      <c r="Z587" s="174"/>
    </row>
    <row r="588" ht="12.75" customHeight="1">
      <c r="A588" s="253"/>
      <c r="B588" s="254"/>
      <c r="C588" s="253"/>
      <c r="D588" s="253"/>
      <c r="E588" s="254"/>
      <c r="F588" s="253"/>
      <c r="G588" s="253"/>
      <c r="H588" s="173"/>
      <c r="I588" s="174"/>
      <c r="J588" s="174"/>
      <c r="K588" s="174"/>
      <c r="L588" s="174"/>
      <c r="M588" s="174"/>
      <c r="N588" s="174"/>
      <c r="O588" s="174"/>
      <c r="P588" s="174"/>
      <c r="Q588" s="174"/>
      <c r="R588" s="174"/>
      <c r="S588" s="174"/>
      <c r="T588" s="174"/>
      <c r="U588" s="174"/>
      <c r="V588" s="174"/>
      <c r="W588" s="174"/>
      <c r="X588" s="174"/>
      <c r="Y588" s="174"/>
      <c r="Z588" s="174"/>
    </row>
    <row r="589" ht="12.75" customHeight="1">
      <c r="A589" s="253"/>
      <c r="B589" s="254"/>
      <c r="C589" s="253"/>
      <c r="D589" s="253"/>
      <c r="E589" s="254"/>
      <c r="F589" s="253"/>
      <c r="G589" s="253"/>
      <c r="H589" s="173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/>
      <c r="V589" s="174"/>
      <c r="W589" s="174"/>
      <c r="X589" s="174"/>
      <c r="Y589" s="174"/>
      <c r="Z589" s="174"/>
    </row>
    <row r="590" ht="12.75" customHeight="1">
      <c r="A590" s="253"/>
      <c r="B590" s="254"/>
      <c r="C590" s="253"/>
      <c r="D590" s="253"/>
      <c r="E590" s="254"/>
      <c r="F590" s="253"/>
      <c r="G590" s="253"/>
      <c r="H590" s="173"/>
      <c r="I590" s="174"/>
      <c r="J590" s="174"/>
      <c r="K590" s="174"/>
      <c r="L590" s="174"/>
      <c r="M590" s="174"/>
      <c r="N590" s="174"/>
      <c r="O590" s="174"/>
      <c r="P590" s="174"/>
      <c r="Q590" s="174"/>
      <c r="R590" s="174"/>
      <c r="S590" s="174"/>
      <c r="T590" s="174"/>
      <c r="U590" s="174"/>
      <c r="V590" s="174"/>
      <c r="W590" s="174"/>
      <c r="X590" s="174"/>
      <c r="Y590" s="174"/>
      <c r="Z590" s="174"/>
    </row>
    <row r="591" ht="12.75" customHeight="1">
      <c r="A591" s="253"/>
      <c r="B591" s="254"/>
      <c r="C591" s="253"/>
      <c r="D591" s="253"/>
      <c r="E591" s="254"/>
      <c r="F591" s="253"/>
      <c r="G591" s="253"/>
      <c r="H591" s="173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/>
      <c r="V591" s="174"/>
      <c r="W591" s="174"/>
      <c r="X591" s="174"/>
      <c r="Y591" s="174"/>
      <c r="Z591" s="174"/>
    </row>
    <row r="592" ht="12.75" customHeight="1">
      <c r="A592" s="253"/>
      <c r="B592" s="254"/>
      <c r="C592" s="253"/>
      <c r="D592" s="253"/>
      <c r="E592" s="254"/>
      <c r="F592" s="253"/>
      <c r="G592" s="253"/>
      <c r="H592" s="173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</row>
    <row r="593" ht="12.75" customHeight="1">
      <c r="A593" s="253"/>
      <c r="B593" s="254"/>
      <c r="C593" s="253"/>
      <c r="D593" s="253"/>
      <c r="E593" s="254"/>
      <c r="F593" s="253"/>
      <c r="G593" s="253"/>
      <c r="H593" s="173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/>
      <c r="V593" s="174"/>
      <c r="W593" s="174"/>
      <c r="X593" s="174"/>
      <c r="Y593" s="174"/>
      <c r="Z593" s="174"/>
    </row>
    <row r="594" ht="12.75" customHeight="1">
      <c r="A594" s="253"/>
      <c r="B594" s="254"/>
      <c r="C594" s="253"/>
      <c r="D594" s="253"/>
      <c r="E594" s="254"/>
      <c r="F594" s="253"/>
      <c r="G594" s="253"/>
      <c r="H594" s="173"/>
      <c r="I594" s="174"/>
      <c r="J594" s="174"/>
      <c r="K594" s="174"/>
      <c r="L594" s="174"/>
      <c r="M594" s="174"/>
      <c r="N594" s="174"/>
      <c r="O594" s="174"/>
      <c r="P594" s="174"/>
      <c r="Q594" s="174"/>
      <c r="R594" s="174"/>
      <c r="S594" s="174"/>
      <c r="T594" s="174"/>
      <c r="U594" s="174"/>
      <c r="V594" s="174"/>
      <c r="W594" s="174"/>
      <c r="X594" s="174"/>
      <c r="Y594" s="174"/>
      <c r="Z594" s="174"/>
    </row>
    <row r="595" ht="12.75" customHeight="1">
      <c r="A595" s="253"/>
      <c r="B595" s="254"/>
      <c r="C595" s="253"/>
      <c r="D595" s="253"/>
      <c r="E595" s="254"/>
      <c r="F595" s="253"/>
      <c r="G595" s="253"/>
      <c r="H595" s="173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/>
      <c r="V595" s="174"/>
      <c r="W595" s="174"/>
      <c r="X595" s="174"/>
      <c r="Y595" s="174"/>
      <c r="Z595" s="174"/>
    </row>
    <row r="596" ht="12.75" customHeight="1">
      <c r="A596" s="253"/>
      <c r="B596" s="254"/>
      <c r="C596" s="253"/>
      <c r="D596" s="253"/>
      <c r="E596" s="254"/>
      <c r="F596" s="253"/>
      <c r="G596" s="253"/>
      <c r="H596" s="173"/>
      <c r="I596" s="174"/>
      <c r="J596" s="174"/>
      <c r="K596" s="174"/>
      <c r="L596" s="174"/>
      <c r="M596" s="174"/>
      <c r="N596" s="174"/>
      <c r="O596" s="174"/>
      <c r="P596" s="174"/>
      <c r="Q596" s="174"/>
      <c r="R596" s="174"/>
      <c r="S596" s="174"/>
      <c r="T596" s="174"/>
      <c r="U596" s="174"/>
      <c r="V596" s="174"/>
      <c r="W596" s="174"/>
      <c r="X596" s="174"/>
      <c r="Y596" s="174"/>
      <c r="Z596" s="174"/>
    </row>
    <row r="597" ht="12.75" customHeight="1">
      <c r="A597" s="253"/>
      <c r="B597" s="254"/>
      <c r="C597" s="253"/>
      <c r="D597" s="253"/>
      <c r="E597" s="254"/>
      <c r="F597" s="253"/>
      <c r="G597" s="253"/>
      <c r="H597" s="173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/>
      <c r="V597" s="174"/>
      <c r="W597" s="174"/>
      <c r="X597" s="174"/>
      <c r="Y597" s="174"/>
      <c r="Z597" s="174"/>
    </row>
    <row r="598" ht="12.75" customHeight="1">
      <c r="A598" s="253"/>
      <c r="B598" s="254"/>
      <c r="C598" s="253"/>
      <c r="D598" s="253"/>
      <c r="E598" s="254"/>
      <c r="F598" s="253"/>
      <c r="G598" s="253"/>
      <c r="H598" s="173"/>
      <c r="I598" s="174"/>
      <c r="J598" s="174"/>
      <c r="K598" s="174"/>
      <c r="L598" s="174"/>
      <c r="M598" s="174"/>
      <c r="N598" s="174"/>
      <c r="O598" s="174"/>
      <c r="P598" s="174"/>
      <c r="Q598" s="174"/>
      <c r="R598" s="174"/>
      <c r="S598" s="174"/>
      <c r="T598" s="174"/>
      <c r="U598" s="174"/>
      <c r="V598" s="174"/>
      <c r="W598" s="174"/>
      <c r="X598" s="174"/>
      <c r="Y598" s="174"/>
      <c r="Z598" s="174"/>
    </row>
    <row r="599" ht="12.75" customHeight="1">
      <c r="A599" s="253"/>
      <c r="B599" s="254"/>
      <c r="C599" s="253"/>
      <c r="D599" s="253"/>
      <c r="E599" s="254"/>
      <c r="F599" s="253"/>
      <c r="G599" s="253"/>
      <c r="H599" s="173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/>
      <c r="V599" s="174"/>
      <c r="W599" s="174"/>
      <c r="X599" s="174"/>
      <c r="Y599" s="174"/>
      <c r="Z599" s="174"/>
    </row>
    <row r="600" ht="12.75" customHeight="1">
      <c r="A600" s="253"/>
      <c r="B600" s="254"/>
      <c r="C600" s="253"/>
      <c r="D600" s="253"/>
      <c r="E600" s="254"/>
      <c r="F600" s="253"/>
      <c r="G600" s="253"/>
      <c r="H600" s="173"/>
      <c r="I600" s="174"/>
      <c r="J600" s="174"/>
      <c r="K600" s="174"/>
      <c r="L600" s="174"/>
      <c r="M600" s="174"/>
      <c r="N600" s="174"/>
      <c r="O600" s="174"/>
      <c r="P600" s="174"/>
      <c r="Q600" s="174"/>
      <c r="R600" s="174"/>
      <c r="S600" s="174"/>
      <c r="T600" s="174"/>
      <c r="U600" s="174"/>
      <c r="V600" s="174"/>
      <c r="W600" s="174"/>
      <c r="X600" s="174"/>
      <c r="Y600" s="174"/>
      <c r="Z600" s="174"/>
    </row>
    <row r="601" ht="12.75" customHeight="1">
      <c r="A601" s="253"/>
      <c r="B601" s="254"/>
      <c r="C601" s="253"/>
      <c r="D601" s="253"/>
      <c r="E601" s="254"/>
      <c r="F601" s="253"/>
      <c r="G601" s="253"/>
      <c r="H601" s="173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</row>
    <row r="602" ht="12.75" customHeight="1">
      <c r="A602" s="253"/>
      <c r="B602" s="254"/>
      <c r="C602" s="253"/>
      <c r="D602" s="253"/>
      <c r="E602" s="254"/>
      <c r="F602" s="253"/>
      <c r="G602" s="253"/>
      <c r="H602" s="173"/>
      <c r="I602" s="174"/>
      <c r="J602" s="174"/>
      <c r="K602" s="174"/>
      <c r="L602" s="174"/>
      <c r="M602" s="174"/>
      <c r="N602" s="174"/>
      <c r="O602" s="174"/>
      <c r="P602" s="174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</row>
    <row r="603" ht="12.75" customHeight="1">
      <c r="A603" s="253"/>
      <c r="B603" s="254"/>
      <c r="C603" s="253"/>
      <c r="D603" s="253"/>
      <c r="E603" s="254"/>
      <c r="F603" s="253"/>
      <c r="G603" s="253"/>
      <c r="H603" s="173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</row>
    <row r="604" ht="12.75" customHeight="1">
      <c r="A604" s="253"/>
      <c r="B604" s="254"/>
      <c r="C604" s="253"/>
      <c r="D604" s="253"/>
      <c r="E604" s="254"/>
      <c r="F604" s="253"/>
      <c r="G604" s="253"/>
      <c r="H604" s="173"/>
      <c r="I604" s="174"/>
      <c r="J604" s="174"/>
      <c r="K604" s="174"/>
      <c r="L604" s="174"/>
      <c r="M604" s="174"/>
      <c r="N604" s="174"/>
      <c r="O604" s="174"/>
      <c r="P604" s="174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</row>
    <row r="605" ht="12.75" customHeight="1">
      <c r="A605" s="253"/>
      <c r="B605" s="254"/>
      <c r="C605" s="253"/>
      <c r="D605" s="253"/>
      <c r="E605" s="254"/>
      <c r="F605" s="253"/>
      <c r="G605" s="253"/>
      <c r="H605" s="173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</row>
    <row r="606" ht="12.75" customHeight="1">
      <c r="A606" s="253"/>
      <c r="B606" s="254"/>
      <c r="C606" s="253"/>
      <c r="D606" s="253"/>
      <c r="E606" s="254"/>
      <c r="F606" s="253"/>
      <c r="G606" s="253"/>
      <c r="H606" s="173"/>
      <c r="I606" s="174"/>
      <c r="J606" s="174"/>
      <c r="K606" s="174"/>
      <c r="L606" s="174"/>
      <c r="M606" s="174"/>
      <c r="N606" s="174"/>
      <c r="O606" s="174"/>
      <c r="P606" s="174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</row>
    <row r="607" ht="12.75" customHeight="1">
      <c r="A607" s="253"/>
      <c r="B607" s="254"/>
      <c r="C607" s="253"/>
      <c r="D607" s="253"/>
      <c r="E607" s="254"/>
      <c r="F607" s="253"/>
      <c r="G607" s="253"/>
      <c r="H607" s="173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</row>
    <row r="608" ht="12.75" customHeight="1">
      <c r="A608" s="253"/>
      <c r="B608" s="254"/>
      <c r="C608" s="253"/>
      <c r="D608" s="253"/>
      <c r="E608" s="254"/>
      <c r="F608" s="253"/>
      <c r="G608" s="253"/>
      <c r="H608" s="173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</row>
    <row r="609" ht="12.75" customHeight="1">
      <c r="A609" s="253"/>
      <c r="B609" s="254"/>
      <c r="C609" s="253"/>
      <c r="D609" s="253"/>
      <c r="E609" s="254"/>
      <c r="F609" s="253"/>
      <c r="G609" s="253"/>
      <c r="H609" s="173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</row>
    <row r="610" ht="12.75" customHeight="1">
      <c r="A610" s="253"/>
      <c r="B610" s="254"/>
      <c r="C610" s="253"/>
      <c r="D610" s="253"/>
      <c r="E610" s="254"/>
      <c r="F610" s="253"/>
      <c r="G610" s="253"/>
      <c r="H610" s="173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</row>
    <row r="611" ht="12.75" customHeight="1">
      <c r="A611" s="253"/>
      <c r="B611" s="254"/>
      <c r="C611" s="253"/>
      <c r="D611" s="253"/>
      <c r="E611" s="254"/>
      <c r="F611" s="253"/>
      <c r="G611" s="253"/>
      <c r="H611" s="173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</row>
    <row r="612" ht="12.75" customHeight="1">
      <c r="A612" s="253"/>
      <c r="B612" s="254"/>
      <c r="C612" s="253"/>
      <c r="D612" s="253"/>
      <c r="E612" s="254"/>
      <c r="F612" s="253"/>
      <c r="G612" s="253"/>
      <c r="H612" s="173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</row>
    <row r="613" ht="12.75" customHeight="1">
      <c r="A613" s="253"/>
      <c r="B613" s="254"/>
      <c r="C613" s="253"/>
      <c r="D613" s="253"/>
      <c r="E613" s="254"/>
      <c r="F613" s="253"/>
      <c r="G613" s="253"/>
      <c r="H613" s="173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</row>
    <row r="614" ht="12.75" customHeight="1">
      <c r="A614" s="253"/>
      <c r="B614" s="254"/>
      <c r="C614" s="253"/>
      <c r="D614" s="253"/>
      <c r="E614" s="254"/>
      <c r="F614" s="253"/>
      <c r="G614" s="253"/>
      <c r="H614" s="173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</row>
    <row r="615" ht="12.75" customHeight="1">
      <c r="A615" s="253"/>
      <c r="B615" s="254"/>
      <c r="C615" s="253"/>
      <c r="D615" s="253"/>
      <c r="E615" s="254"/>
      <c r="F615" s="253"/>
      <c r="G615" s="253"/>
      <c r="H615" s="173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</row>
    <row r="616" ht="12.75" customHeight="1">
      <c r="A616" s="253"/>
      <c r="B616" s="254"/>
      <c r="C616" s="253"/>
      <c r="D616" s="253"/>
      <c r="E616" s="254"/>
      <c r="F616" s="253"/>
      <c r="G616" s="253"/>
      <c r="H616" s="173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</row>
    <row r="617" ht="12.75" customHeight="1">
      <c r="A617" s="253"/>
      <c r="B617" s="254"/>
      <c r="C617" s="253"/>
      <c r="D617" s="253"/>
      <c r="E617" s="254"/>
      <c r="F617" s="253"/>
      <c r="G617" s="253"/>
      <c r="H617" s="173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</row>
    <row r="618" ht="12.75" customHeight="1">
      <c r="A618" s="253"/>
      <c r="B618" s="254"/>
      <c r="C618" s="253"/>
      <c r="D618" s="253"/>
      <c r="E618" s="254"/>
      <c r="F618" s="253"/>
      <c r="G618" s="253"/>
      <c r="H618" s="173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</row>
    <row r="619" ht="12.75" customHeight="1">
      <c r="A619" s="253"/>
      <c r="B619" s="254"/>
      <c r="C619" s="253"/>
      <c r="D619" s="253"/>
      <c r="E619" s="254"/>
      <c r="F619" s="253"/>
      <c r="G619" s="253"/>
      <c r="H619" s="173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</row>
    <row r="620" ht="12.75" customHeight="1">
      <c r="A620" s="253"/>
      <c r="B620" s="254"/>
      <c r="C620" s="253"/>
      <c r="D620" s="253"/>
      <c r="E620" s="254"/>
      <c r="F620" s="253"/>
      <c r="G620" s="253"/>
      <c r="H620" s="173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</row>
    <row r="621" ht="12.75" customHeight="1">
      <c r="A621" s="253"/>
      <c r="B621" s="254"/>
      <c r="C621" s="253"/>
      <c r="D621" s="253"/>
      <c r="E621" s="254"/>
      <c r="F621" s="253"/>
      <c r="G621" s="253"/>
      <c r="H621" s="173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</row>
    <row r="622" ht="12.75" customHeight="1">
      <c r="A622" s="253"/>
      <c r="B622" s="254"/>
      <c r="C622" s="253"/>
      <c r="D622" s="253"/>
      <c r="E622" s="254"/>
      <c r="F622" s="253"/>
      <c r="G622" s="253"/>
      <c r="H622" s="173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</row>
    <row r="623" ht="12.75" customHeight="1">
      <c r="A623" s="253"/>
      <c r="B623" s="254"/>
      <c r="C623" s="253"/>
      <c r="D623" s="253"/>
      <c r="E623" s="254"/>
      <c r="F623" s="253"/>
      <c r="G623" s="253"/>
      <c r="H623" s="173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</row>
    <row r="624" ht="12.75" customHeight="1">
      <c r="A624" s="253"/>
      <c r="B624" s="254"/>
      <c r="C624" s="253"/>
      <c r="D624" s="253"/>
      <c r="E624" s="254"/>
      <c r="F624" s="253"/>
      <c r="G624" s="253"/>
      <c r="H624" s="173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</row>
    <row r="625" ht="12.75" customHeight="1">
      <c r="A625" s="253"/>
      <c r="B625" s="254"/>
      <c r="C625" s="253"/>
      <c r="D625" s="253"/>
      <c r="E625" s="254"/>
      <c r="F625" s="253"/>
      <c r="G625" s="253"/>
      <c r="H625" s="173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</row>
    <row r="626" ht="12.75" customHeight="1">
      <c r="A626" s="253"/>
      <c r="B626" s="254"/>
      <c r="C626" s="253"/>
      <c r="D626" s="253"/>
      <c r="E626" s="254"/>
      <c r="F626" s="253"/>
      <c r="G626" s="253"/>
      <c r="H626" s="173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</row>
    <row r="627" ht="12.75" customHeight="1">
      <c r="A627" s="253"/>
      <c r="B627" s="254"/>
      <c r="C627" s="253"/>
      <c r="D627" s="253"/>
      <c r="E627" s="254"/>
      <c r="F627" s="253"/>
      <c r="G627" s="253"/>
      <c r="H627" s="173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</row>
    <row r="628" ht="12.75" customHeight="1">
      <c r="A628" s="253"/>
      <c r="B628" s="254"/>
      <c r="C628" s="253"/>
      <c r="D628" s="253"/>
      <c r="E628" s="254"/>
      <c r="F628" s="253"/>
      <c r="G628" s="253"/>
      <c r="H628" s="173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</row>
    <row r="629" ht="12.75" customHeight="1">
      <c r="A629" s="253"/>
      <c r="B629" s="254"/>
      <c r="C629" s="253"/>
      <c r="D629" s="253"/>
      <c r="E629" s="254"/>
      <c r="F629" s="253"/>
      <c r="G629" s="253"/>
      <c r="H629" s="173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</row>
    <row r="630" ht="12.75" customHeight="1">
      <c r="A630" s="253"/>
      <c r="B630" s="254"/>
      <c r="C630" s="253"/>
      <c r="D630" s="253"/>
      <c r="E630" s="254"/>
      <c r="F630" s="253"/>
      <c r="G630" s="253"/>
      <c r="H630" s="173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4"/>
      <c r="U630" s="174"/>
      <c r="V630" s="174"/>
      <c r="W630" s="174"/>
      <c r="X630" s="174"/>
      <c r="Y630" s="174"/>
      <c r="Z630" s="174"/>
    </row>
    <row r="631" ht="12.75" customHeight="1">
      <c r="A631" s="253"/>
      <c r="B631" s="254"/>
      <c r="C631" s="253"/>
      <c r="D631" s="253"/>
      <c r="E631" s="254"/>
      <c r="F631" s="253"/>
      <c r="G631" s="253"/>
      <c r="H631" s="173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/>
      <c r="V631" s="174"/>
      <c r="W631" s="174"/>
      <c r="X631" s="174"/>
      <c r="Y631" s="174"/>
      <c r="Z631" s="174"/>
    </row>
    <row r="632" ht="12.75" customHeight="1">
      <c r="A632" s="253"/>
      <c r="B632" s="254"/>
      <c r="C632" s="253"/>
      <c r="D632" s="253"/>
      <c r="E632" s="254"/>
      <c r="F632" s="253"/>
      <c r="G632" s="253"/>
      <c r="H632" s="173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</row>
    <row r="633" ht="12.75" customHeight="1">
      <c r="A633" s="253"/>
      <c r="B633" s="254"/>
      <c r="C633" s="253"/>
      <c r="D633" s="253"/>
      <c r="E633" s="254"/>
      <c r="F633" s="253"/>
      <c r="G633" s="253"/>
      <c r="H633" s="173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</row>
    <row r="634" ht="12.75" customHeight="1">
      <c r="A634" s="253"/>
      <c r="B634" s="254"/>
      <c r="C634" s="253"/>
      <c r="D634" s="253"/>
      <c r="E634" s="254"/>
      <c r="F634" s="253"/>
      <c r="G634" s="253"/>
      <c r="H634" s="173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</row>
    <row r="635" ht="12.75" customHeight="1">
      <c r="A635" s="253"/>
      <c r="B635" s="254"/>
      <c r="C635" s="253"/>
      <c r="D635" s="253"/>
      <c r="E635" s="254"/>
      <c r="F635" s="253"/>
      <c r="G635" s="253"/>
      <c r="H635" s="173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/>
      <c r="V635" s="174"/>
      <c r="W635" s="174"/>
      <c r="X635" s="174"/>
      <c r="Y635" s="174"/>
      <c r="Z635" s="174"/>
    </row>
    <row r="636" ht="12.75" customHeight="1">
      <c r="A636" s="253"/>
      <c r="B636" s="254"/>
      <c r="C636" s="253"/>
      <c r="D636" s="253"/>
      <c r="E636" s="254"/>
      <c r="F636" s="253"/>
      <c r="G636" s="253"/>
      <c r="H636" s="173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174"/>
      <c r="T636" s="174"/>
      <c r="U636" s="174"/>
      <c r="V636" s="174"/>
      <c r="W636" s="174"/>
      <c r="X636" s="174"/>
      <c r="Y636" s="174"/>
      <c r="Z636" s="174"/>
    </row>
    <row r="637" ht="12.75" customHeight="1">
      <c r="A637" s="253"/>
      <c r="B637" s="254"/>
      <c r="C637" s="253"/>
      <c r="D637" s="253"/>
      <c r="E637" s="254"/>
      <c r="F637" s="253"/>
      <c r="G637" s="253"/>
      <c r="H637" s="173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</row>
    <row r="638" ht="12.75" customHeight="1">
      <c r="A638" s="253"/>
      <c r="B638" s="254"/>
      <c r="C638" s="253"/>
      <c r="D638" s="253"/>
      <c r="E638" s="254"/>
      <c r="F638" s="253"/>
      <c r="G638" s="253"/>
      <c r="H638" s="173"/>
      <c r="I638" s="174"/>
      <c r="J638" s="174"/>
      <c r="K638" s="174"/>
      <c r="L638" s="174"/>
      <c r="M638" s="174"/>
      <c r="N638" s="174"/>
      <c r="O638" s="174"/>
      <c r="P638" s="174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</row>
    <row r="639" ht="12.75" customHeight="1">
      <c r="A639" s="253"/>
      <c r="B639" s="254"/>
      <c r="C639" s="253"/>
      <c r="D639" s="253"/>
      <c r="E639" s="254"/>
      <c r="F639" s="253"/>
      <c r="G639" s="253"/>
      <c r="H639" s="173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</row>
    <row r="640" ht="12.75" customHeight="1">
      <c r="A640" s="253"/>
      <c r="B640" s="254"/>
      <c r="C640" s="253"/>
      <c r="D640" s="253"/>
      <c r="E640" s="254"/>
      <c r="F640" s="253"/>
      <c r="G640" s="253"/>
      <c r="H640" s="173"/>
      <c r="I640" s="174"/>
      <c r="J640" s="174"/>
      <c r="K640" s="174"/>
      <c r="L640" s="174"/>
      <c r="M640" s="174"/>
      <c r="N640" s="174"/>
      <c r="O640" s="174"/>
      <c r="P640" s="174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</row>
    <row r="641" ht="12.75" customHeight="1">
      <c r="A641" s="253"/>
      <c r="B641" s="254"/>
      <c r="C641" s="253"/>
      <c r="D641" s="253"/>
      <c r="E641" s="254"/>
      <c r="F641" s="253"/>
      <c r="G641" s="253"/>
      <c r="H641" s="173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</row>
    <row r="642" ht="12.75" customHeight="1">
      <c r="A642" s="253"/>
      <c r="B642" s="254"/>
      <c r="C642" s="253"/>
      <c r="D642" s="253"/>
      <c r="E642" s="254"/>
      <c r="F642" s="253"/>
      <c r="G642" s="253"/>
      <c r="H642" s="173"/>
      <c r="I642" s="174"/>
      <c r="J642" s="174"/>
      <c r="K642" s="174"/>
      <c r="L642" s="174"/>
      <c r="M642" s="174"/>
      <c r="N642" s="174"/>
      <c r="O642" s="174"/>
      <c r="P642" s="174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</row>
    <row r="643" ht="12.75" customHeight="1">
      <c r="A643" s="253"/>
      <c r="B643" s="254"/>
      <c r="C643" s="253"/>
      <c r="D643" s="253"/>
      <c r="E643" s="254"/>
      <c r="F643" s="253"/>
      <c r="G643" s="253"/>
      <c r="H643" s="173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</row>
    <row r="644" ht="12.75" customHeight="1">
      <c r="A644" s="253"/>
      <c r="B644" s="254"/>
      <c r="C644" s="253"/>
      <c r="D644" s="253"/>
      <c r="E644" s="254"/>
      <c r="F644" s="253"/>
      <c r="G644" s="253"/>
      <c r="H644" s="173"/>
      <c r="I644" s="174"/>
      <c r="J644" s="174"/>
      <c r="K644" s="174"/>
      <c r="L644" s="174"/>
      <c r="M644" s="174"/>
      <c r="N644" s="174"/>
      <c r="O644" s="174"/>
      <c r="P644" s="174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</row>
    <row r="645" ht="12.75" customHeight="1">
      <c r="A645" s="253"/>
      <c r="B645" s="254"/>
      <c r="C645" s="253"/>
      <c r="D645" s="253"/>
      <c r="E645" s="254"/>
      <c r="F645" s="253"/>
      <c r="G645" s="253"/>
      <c r="H645" s="173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</row>
    <row r="646" ht="12.75" customHeight="1">
      <c r="A646" s="253"/>
      <c r="B646" s="254"/>
      <c r="C646" s="253"/>
      <c r="D646" s="253"/>
      <c r="E646" s="254"/>
      <c r="F646" s="253"/>
      <c r="G646" s="253"/>
      <c r="H646" s="173"/>
      <c r="I646" s="174"/>
      <c r="J646" s="174"/>
      <c r="K646" s="174"/>
      <c r="L646" s="174"/>
      <c r="M646" s="174"/>
      <c r="N646" s="174"/>
      <c r="O646" s="174"/>
      <c r="P646" s="174"/>
      <c r="Q646" s="174"/>
      <c r="R646" s="174"/>
      <c r="S646" s="174"/>
      <c r="T646" s="174"/>
      <c r="U646" s="174"/>
      <c r="V646" s="174"/>
      <c r="W646" s="174"/>
      <c r="X646" s="174"/>
      <c r="Y646" s="174"/>
      <c r="Z646" s="174"/>
    </row>
    <row r="647" ht="12.75" customHeight="1">
      <c r="A647" s="253"/>
      <c r="B647" s="254"/>
      <c r="C647" s="253"/>
      <c r="D647" s="253"/>
      <c r="E647" s="254"/>
      <c r="F647" s="253"/>
      <c r="G647" s="253"/>
      <c r="H647" s="173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</row>
    <row r="648" ht="12.75" customHeight="1">
      <c r="A648" s="253"/>
      <c r="B648" s="254"/>
      <c r="C648" s="253"/>
      <c r="D648" s="253"/>
      <c r="E648" s="254"/>
      <c r="F648" s="253"/>
      <c r="G648" s="253"/>
      <c r="H648" s="173"/>
      <c r="I648" s="174"/>
      <c r="J648" s="174"/>
      <c r="K648" s="174"/>
      <c r="L648" s="174"/>
      <c r="M648" s="174"/>
      <c r="N648" s="174"/>
      <c r="O648" s="174"/>
      <c r="P648" s="174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</row>
    <row r="649" ht="12.75" customHeight="1">
      <c r="A649" s="253"/>
      <c r="B649" s="254"/>
      <c r="C649" s="253"/>
      <c r="D649" s="253"/>
      <c r="E649" s="254"/>
      <c r="F649" s="253"/>
      <c r="G649" s="253"/>
      <c r="H649" s="173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</row>
    <row r="650" ht="12.75" customHeight="1">
      <c r="A650" s="253"/>
      <c r="B650" s="254"/>
      <c r="C650" s="253"/>
      <c r="D650" s="253"/>
      <c r="E650" s="254"/>
      <c r="F650" s="253"/>
      <c r="G650" s="253"/>
      <c r="H650" s="173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</row>
    <row r="651" ht="12.75" customHeight="1">
      <c r="A651" s="253"/>
      <c r="B651" s="254"/>
      <c r="C651" s="253"/>
      <c r="D651" s="253"/>
      <c r="E651" s="254"/>
      <c r="F651" s="253"/>
      <c r="G651" s="253"/>
      <c r="H651" s="173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</row>
    <row r="652" ht="12.75" customHeight="1">
      <c r="A652" s="253"/>
      <c r="B652" s="254"/>
      <c r="C652" s="253"/>
      <c r="D652" s="253"/>
      <c r="E652" s="254"/>
      <c r="F652" s="253"/>
      <c r="G652" s="253"/>
      <c r="H652" s="173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</row>
    <row r="653" ht="12.75" customHeight="1">
      <c r="A653" s="253"/>
      <c r="B653" s="254"/>
      <c r="C653" s="253"/>
      <c r="D653" s="253"/>
      <c r="E653" s="254"/>
      <c r="F653" s="253"/>
      <c r="G653" s="253"/>
      <c r="H653" s="173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</row>
    <row r="654" ht="12.75" customHeight="1">
      <c r="A654" s="253"/>
      <c r="B654" s="254"/>
      <c r="C654" s="253"/>
      <c r="D654" s="253"/>
      <c r="E654" s="254"/>
      <c r="F654" s="253"/>
      <c r="G654" s="253"/>
      <c r="H654" s="173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</row>
    <row r="655" ht="12.75" customHeight="1">
      <c r="A655" s="253"/>
      <c r="B655" s="254"/>
      <c r="C655" s="253"/>
      <c r="D655" s="253"/>
      <c r="E655" s="254"/>
      <c r="F655" s="253"/>
      <c r="G655" s="253"/>
      <c r="H655" s="173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</row>
    <row r="656" ht="12.75" customHeight="1">
      <c r="A656" s="253"/>
      <c r="B656" s="254"/>
      <c r="C656" s="253"/>
      <c r="D656" s="253"/>
      <c r="E656" s="254"/>
      <c r="F656" s="253"/>
      <c r="G656" s="253"/>
      <c r="H656" s="173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</row>
    <row r="657" ht="12.75" customHeight="1">
      <c r="A657" s="253"/>
      <c r="B657" s="254"/>
      <c r="C657" s="253"/>
      <c r="D657" s="253"/>
      <c r="E657" s="254"/>
      <c r="F657" s="253"/>
      <c r="G657" s="253"/>
      <c r="H657" s="173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/>
      <c r="V657" s="174"/>
      <c r="W657" s="174"/>
      <c r="X657" s="174"/>
      <c r="Y657" s="174"/>
      <c r="Z657" s="174"/>
    </row>
    <row r="658" ht="12.75" customHeight="1">
      <c r="A658" s="253"/>
      <c r="B658" s="254"/>
      <c r="C658" s="253"/>
      <c r="D658" s="253"/>
      <c r="E658" s="254"/>
      <c r="F658" s="253"/>
      <c r="G658" s="253"/>
      <c r="H658" s="173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174"/>
      <c r="T658" s="174"/>
      <c r="U658" s="174"/>
      <c r="V658" s="174"/>
      <c r="W658" s="174"/>
      <c r="X658" s="174"/>
      <c r="Y658" s="174"/>
      <c r="Z658" s="174"/>
    </row>
    <row r="659" ht="12.75" customHeight="1">
      <c r="A659" s="253"/>
      <c r="B659" s="254"/>
      <c r="C659" s="253"/>
      <c r="D659" s="253"/>
      <c r="E659" s="254"/>
      <c r="F659" s="253"/>
      <c r="G659" s="253"/>
      <c r="H659" s="173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/>
      <c r="V659" s="174"/>
      <c r="W659" s="174"/>
      <c r="X659" s="174"/>
      <c r="Y659" s="174"/>
      <c r="Z659" s="174"/>
    </row>
    <row r="660" ht="12.75" customHeight="1">
      <c r="A660" s="253"/>
      <c r="B660" s="254"/>
      <c r="C660" s="253"/>
      <c r="D660" s="253"/>
      <c r="E660" s="254"/>
      <c r="F660" s="253"/>
      <c r="G660" s="253"/>
      <c r="H660" s="173"/>
      <c r="I660" s="174"/>
      <c r="J660" s="174"/>
      <c r="K660" s="174"/>
      <c r="L660" s="174"/>
      <c r="M660" s="174"/>
      <c r="N660" s="174"/>
      <c r="O660" s="174"/>
      <c r="P660" s="174"/>
      <c r="Q660" s="174"/>
      <c r="R660" s="174"/>
      <c r="S660" s="174"/>
      <c r="T660" s="174"/>
      <c r="U660" s="174"/>
      <c r="V660" s="174"/>
      <c r="W660" s="174"/>
      <c r="X660" s="174"/>
      <c r="Y660" s="174"/>
      <c r="Z660" s="174"/>
    </row>
    <row r="661" ht="12.75" customHeight="1">
      <c r="A661" s="253"/>
      <c r="B661" s="254"/>
      <c r="C661" s="253"/>
      <c r="D661" s="253"/>
      <c r="E661" s="254"/>
      <c r="F661" s="253"/>
      <c r="G661" s="253"/>
      <c r="H661" s="173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</row>
    <row r="662" ht="12.75" customHeight="1">
      <c r="A662" s="253"/>
      <c r="B662" s="254"/>
      <c r="C662" s="253"/>
      <c r="D662" s="253"/>
      <c r="E662" s="254"/>
      <c r="F662" s="253"/>
      <c r="G662" s="253"/>
      <c r="H662" s="173"/>
      <c r="I662" s="174"/>
      <c r="J662" s="174"/>
      <c r="K662" s="174"/>
      <c r="L662" s="174"/>
      <c r="M662" s="174"/>
      <c r="N662" s="174"/>
      <c r="O662" s="174"/>
      <c r="P662" s="174"/>
      <c r="Q662" s="174"/>
      <c r="R662" s="174"/>
      <c r="S662" s="174"/>
      <c r="T662" s="174"/>
      <c r="U662" s="174"/>
      <c r="V662" s="174"/>
      <c r="W662" s="174"/>
      <c r="X662" s="174"/>
      <c r="Y662" s="174"/>
      <c r="Z662" s="174"/>
    </row>
    <row r="663" ht="12.75" customHeight="1">
      <c r="A663" s="253"/>
      <c r="B663" s="254"/>
      <c r="C663" s="253"/>
      <c r="D663" s="253"/>
      <c r="E663" s="254"/>
      <c r="F663" s="253"/>
      <c r="G663" s="253"/>
      <c r="H663" s="173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/>
      <c r="V663" s="174"/>
      <c r="W663" s="174"/>
      <c r="X663" s="174"/>
      <c r="Y663" s="174"/>
      <c r="Z663" s="174"/>
    </row>
    <row r="664" ht="12.75" customHeight="1">
      <c r="A664" s="253"/>
      <c r="B664" s="254"/>
      <c r="C664" s="253"/>
      <c r="D664" s="253"/>
      <c r="E664" s="254"/>
      <c r="F664" s="253"/>
      <c r="G664" s="253"/>
      <c r="H664" s="173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</row>
    <row r="665" ht="12.75" customHeight="1">
      <c r="A665" s="253"/>
      <c r="B665" s="254"/>
      <c r="C665" s="253"/>
      <c r="D665" s="253"/>
      <c r="E665" s="254"/>
      <c r="F665" s="253"/>
      <c r="G665" s="253"/>
      <c r="H665" s="173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</row>
    <row r="666" ht="12.75" customHeight="1">
      <c r="A666" s="253"/>
      <c r="B666" s="254"/>
      <c r="C666" s="253"/>
      <c r="D666" s="253"/>
      <c r="E666" s="254"/>
      <c r="F666" s="253"/>
      <c r="G666" s="253"/>
      <c r="H666" s="173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</row>
    <row r="667" ht="12.75" customHeight="1">
      <c r="A667" s="253"/>
      <c r="B667" s="254"/>
      <c r="C667" s="253"/>
      <c r="D667" s="253"/>
      <c r="E667" s="254"/>
      <c r="F667" s="253"/>
      <c r="G667" s="253"/>
      <c r="H667" s="173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</row>
    <row r="668" ht="12.75" customHeight="1">
      <c r="A668" s="253"/>
      <c r="B668" s="254"/>
      <c r="C668" s="253"/>
      <c r="D668" s="253"/>
      <c r="E668" s="254"/>
      <c r="F668" s="253"/>
      <c r="G668" s="253"/>
      <c r="H668" s="173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</row>
    <row r="669" ht="12.75" customHeight="1">
      <c r="A669" s="253"/>
      <c r="B669" s="254"/>
      <c r="C669" s="253"/>
      <c r="D669" s="253"/>
      <c r="E669" s="254"/>
      <c r="F669" s="253"/>
      <c r="G669" s="253"/>
      <c r="H669" s="173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/>
      <c r="V669" s="174"/>
      <c r="W669" s="174"/>
      <c r="X669" s="174"/>
      <c r="Y669" s="174"/>
      <c r="Z669" s="174"/>
    </row>
    <row r="670" ht="12.75" customHeight="1">
      <c r="A670" s="253"/>
      <c r="B670" s="254"/>
      <c r="C670" s="253"/>
      <c r="D670" s="253"/>
      <c r="E670" s="254"/>
      <c r="F670" s="253"/>
      <c r="G670" s="253"/>
      <c r="H670" s="173"/>
      <c r="I670" s="174"/>
      <c r="J670" s="174"/>
      <c r="K670" s="174"/>
      <c r="L670" s="174"/>
      <c r="M670" s="174"/>
      <c r="N670" s="174"/>
      <c r="O670" s="174"/>
      <c r="P670" s="174"/>
      <c r="Q670" s="174"/>
      <c r="R670" s="174"/>
      <c r="S670" s="174"/>
      <c r="T670" s="174"/>
      <c r="U670" s="174"/>
      <c r="V670" s="174"/>
      <c r="W670" s="174"/>
      <c r="X670" s="174"/>
      <c r="Y670" s="174"/>
      <c r="Z670" s="174"/>
    </row>
    <row r="671" ht="12.75" customHeight="1">
      <c r="A671" s="253"/>
      <c r="B671" s="254"/>
      <c r="C671" s="253"/>
      <c r="D671" s="253"/>
      <c r="E671" s="254"/>
      <c r="F671" s="253"/>
      <c r="G671" s="253"/>
      <c r="H671" s="173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/>
      <c r="V671" s="174"/>
      <c r="W671" s="174"/>
      <c r="X671" s="174"/>
      <c r="Y671" s="174"/>
      <c r="Z671" s="174"/>
    </row>
    <row r="672" ht="12.75" customHeight="1">
      <c r="A672" s="253"/>
      <c r="B672" s="254"/>
      <c r="C672" s="253"/>
      <c r="D672" s="253"/>
      <c r="E672" s="254"/>
      <c r="F672" s="253"/>
      <c r="G672" s="253"/>
      <c r="H672" s="173"/>
      <c r="I672" s="174"/>
      <c r="J672" s="174"/>
      <c r="K672" s="174"/>
      <c r="L672" s="174"/>
      <c r="M672" s="174"/>
      <c r="N672" s="174"/>
      <c r="O672" s="174"/>
      <c r="P672" s="174"/>
      <c r="Q672" s="174"/>
      <c r="R672" s="174"/>
      <c r="S672" s="174"/>
      <c r="T672" s="174"/>
      <c r="U672" s="174"/>
      <c r="V672" s="174"/>
      <c r="W672" s="174"/>
      <c r="X672" s="174"/>
      <c r="Y672" s="174"/>
      <c r="Z672" s="174"/>
    </row>
    <row r="673" ht="12.75" customHeight="1">
      <c r="A673" s="253"/>
      <c r="B673" s="254"/>
      <c r="C673" s="253"/>
      <c r="D673" s="253"/>
      <c r="E673" s="254"/>
      <c r="F673" s="253"/>
      <c r="G673" s="253"/>
      <c r="H673" s="173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</row>
    <row r="674" ht="12.75" customHeight="1">
      <c r="A674" s="253"/>
      <c r="B674" s="254"/>
      <c r="C674" s="253"/>
      <c r="D674" s="253"/>
      <c r="E674" s="254"/>
      <c r="F674" s="253"/>
      <c r="G674" s="253"/>
      <c r="H674" s="173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</row>
    <row r="675" ht="12.75" customHeight="1">
      <c r="A675" s="253"/>
      <c r="B675" s="254"/>
      <c r="C675" s="253"/>
      <c r="D675" s="253"/>
      <c r="E675" s="254"/>
      <c r="F675" s="253"/>
      <c r="G675" s="253"/>
      <c r="H675" s="173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</row>
    <row r="676" ht="12.75" customHeight="1">
      <c r="A676" s="253"/>
      <c r="B676" s="254"/>
      <c r="C676" s="253"/>
      <c r="D676" s="253"/>
      <c r="E676" s="254"/>
      <c r="F676" s="253"/>
      <c r="G676" s="253"/>
      <c r="H676" s="173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</row>
    <row r="677" ht="12.75" customHeight="1">
      <c r="A677" s="253"/>
      <c r="B677" s="254"/>
      <c r="C677" s="253"/>
      <c r="D677" s="253"/>
      <c r="E677" s="254"/>
      <c r="F677" s="253"/>
      <c r="G677" s="253"/>
      <c r="H677" s="173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</row>
    <row r="678" ht="12.75" customHeight="1">
      <c r="A678" s="253"/>
      <c r="B678" s="254"/>
      <c r="C678" s="253"/>
      <c r="D678" s="253"/>
      <c r="E678" s="254"/>
      <c r="F678" s="253"/>
      <c r="G678" s="253"/>
      <c r="H678" s="173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</row>
    <row r="679" ht="12.75" customHeight="1">
      <c r="A679" s="253"/>
      <c r="B679" s="254"/>
      <c r="C679" s="253"/>
      <c r="D679" s="253"/>
      <c r="E679" s="254"/>
      <c r="F679" s="253"/>
      <c r="G679" s="253"/>
      <c r="H679" s="173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</row>
    <row r="680" ht="12.75" customHeight="1">
      <c r="A680" s="253"/>
      <c r="B680" s="254"/>
      <c r="C680" s="253"/>
      <c r="D680" s="253"/>
      <c r="E680" s="254"/>
      <c r="F680" s="253"/>
      <c r="G680" s="253"/>
      <c r="H680" s="173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</row>
    <row r="681" ht="12.75" customHeight="1">
      <c r="A681" s="253"/>
      <c r="B681" s="254"/>
      <c r="C681" s="253"/>
      <c r="D681" s="253"/>
      <c r="E681" s="254"/>
      <c r="F681" s="253"/>
      <c r="G681" s="253"/>
      <c r="H681" s="173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</row>
    <row r="682" ht="12.75" customHeight="1">
      <c r="A682" s="253"/>
      <c r="B682" s="254"/>
      <c r="C682" s="253"/>
      <c r="D682" s="253"/>
      <c r="E682" s="254"/>
      <c r="F682" s="253"/>
      <c r="G682" s="253"/>
      <c r="H682" s="173"/>
      <c r="I682" s="174"/>
      <c r="J682" s="174"/>
      <c r="K682" s="174"/>
      <c r="L682" s="174"/>
      <c r="M682" s="174"/>
      <c r="N682" s="174"/>
      <c r="O682" s="174"/>
      <c r="P682" s="174"/>
      <c r="Q682" s="174"/>
      <c r="R682" s="174"/>
      <c r="S682" s="174"/>
      <c r="T682" s="174"/>
      <c r="U682" s="174"/>
      <c r="V682" s="174"/>
      <c r="W682" s="174"/>
      <c r="X682" s="174"/>
      <c r="Y682" s="174"/>
      <c r="Z682" s="174"/>
    </row>
    <row r="683" ht="12.75" customHeight="1">
      <c r="A683" s="253"/>
      <c r="B683" s="254"/>
      <c r="C683" s="253"/>
      <c r="D683" s="253"/>
      <c r="E683" s="254"/>
      <c r="F683" s="253"/>
      <c r="G683" s="253"/>
      <c r="H683" s="173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/>
      <c r="V683" s="174"/>
      <c r="W683" s="174"/>
      <c r="X683" s="174"/>
      <c r="Y683" s="174"/>
      <c r="Z683" s="174"/>
    </row>
    <row r="684" ht="12.75" customHeight="1">
      <c r="A684" s="253"/>
      <c r="B684" s="254"/>
      <c r="C684" s="253"/>
      <c r="D684" s="253"/>
      <c r="E684" s="254"/>
      <c r="F684" s="253"/>
      <c r="G684" s="253"/>
      <c r="H684" s="173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4"/>
      <c r="U684" s="174"/>
      <c r="V684" s="174"/>
      <c r="W684" s="174"/>
      <c r="X684" s="174"/>
      <c r="Y684" s="174"/>
      <c r="Z684" s="174"/>
    </row>
    <row r="685" ht="12.75" customHeight="1">
      <c r="A685" s="253"/>
      <c r="B685" s="254"/>
      <c r="C685" s="253"/>
      <c r="D685" s="253"/>
      <c r="E685" s="254"/>
      <c r="F685" s="253"/>
      <c r="G685" s="253"/>
      <c r="H685" s="173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/>
      <c r="V685" s="174"/>
      <c r="W685" s="174"/>
      <c r="X685" s="174"/>
      <c r="Y685" s="174"/>
      <c r="Z685" s="174"/>
    </row>
    <row r="686" ht="12.75" customHeight="1">
      <c r="A686" s="253"/>
      <c r="B686" s="254"/>
      <c r="C686" s="253"/>
      <c r="D686" s="253"/>
      <c r="E686" s="254"/>
      <c r="F686" s="253"/>
      <c r="G686" s="253"/>
      <c r="H686" s="173"/>
      <c r="I686" s="174"/>
      <c r="J686" s="174"/>
      <c r="K686" s="174"/>
      <c r="L686" s="174"/>
      <c r="M686" s="174"/>
      <c r="N686" s="174"/>
      <c r="O686" s="174"/>
      <c r="P686" s="174"/>
      <c r="Q686" s="174"/>
      <c r="R686" s="174"/>
      <c r="S686" s="174"/>
      <c r="T686" s="174"/>
      <c r="U686" s="174"/>
      <c r="V686" s="174"/>
      <c r="W686" s="174"/>
      <c r="X686" s="174"/>
      <c r="Y686" s="174"/>
      <c r="Z686" s="174"/>
    </row>
    <row r="687" ht="12.75" customHeight="1">
      <c r="A687" s="253"/>
      <c r="B687" s="254"/>
      <c r="C687" s="253"/>
      <c r="D687" s="253"/>
      <c r="E687" s="254"/>
      <c r="F687" s="253"/>
      <c r="G687" s="253"/>
      <c r="H687" s="173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/>
      <c r="V687" s="174"/>
      <c r="W687" s="174"/>
      <c r="X687" s="174"/>
      <c r="Y687" s="174"/>
      <c r="Z687" s="174"/>
    </row>
    <row r="688" ht="12.75" customHeight="1">
      <c r="A688" s="253"/>
      <c r="B688" s="254"/>
      <c r="C688" s="253"/>
      <c r="D688" s="253"/>
      <c r="E688" s="254"/>
      <c r="F688" s="253"/>
      <c r="G688" s="253"/>
      <c r="H688" s="173"/>
      <c r="I688" s="174"/>
      <c r="J688" s="174"/>
      <c r="K688" s="174"/>
      <c r="L688" s="174"/>
      <c r="M688" s="174"/>
      <c r="N688" s="174"/>
      <c r="O688" s="174"/>
      <c r="P688" s="174"/>
      <c r="Q688" s="174"/>
      <c r="R688" s="174"/>
      <c r="S688" s="174"/>
      <c r="T688" s="174"/>
      <c r="U688" s="174"/>
      <c r="V688" s="174"/>
      <c r="W688" s="174"/>
      <c r="X688" s="174"/>
      <c r="Y688" s="174"/>
      <c r="Z688" s="174"/>
    </row>
    <row r="689" ht="12.75" customHeight="1">
      <c r="A689" s="253"/>
      <c r="B689" s="254"/>
      <c r="C689" s="253"/>
      <c r="D689" s="253"/>
      <c r="E689" s="254"/>
      <c r="F689" s="253"/>
      <c r="G689" s="253"/>
      <c r="H689" s="173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/>
      <c r="V689" s="174"/>
      <c r="W689" s="174"/>
      <c r="X689" s="174"/>
      <c r="Y689" s="174"/>
      <c r="Z689" s="174"/>
    </row>
    <row r="690" ht="12.75" customHeight="1">
      <c r="A690" s="253"/>
      <c r="B690" s="254"/>
      <c r="C690" s="253"/>
      <c r="D690" s="253"/>
      <c r="E690" s="254"/>
      <c r="F690" s="253"/>
      <c r="G690" s="253"/>
      <c r="H690" s="173"/>
      <c r="I690" s="174"/>
      <c r="J690" s="174"/>
      <c r="K690" s="174"/>
      <c r="L690" s="174"/>
      <c r="M690" s="174"/>
      <c r="N690" s="174"/>
      <c r="O690" s="174"/>
      <c r="P690" s="174"/>
      <c r="Q690" s="174"/>
      <c r="R690" s="174"/>
      <c r="S690" s="174"/>
      <c r="T690" s="174"/>
      <c r="U690" s="174"/>
      <c r="V690" s="174"/>
      <c r="W690" s="174"/>
      <c r="X690" s="174"/>
      <c r="Y690" s="174"/>
      <c r="Z690" s="174"/>
    </row>
    <row r="691" ht="12.75" customHeight="1">
      <c r="A691" s="253"/>
      <c r="B691" s="254"/>
      <c r="C691" s="253"/>
      <c r="D691" s="253"/>
      <c r="E691" s="254"/>
      <c r="F691" s="253"/>
      <c r="G691" s="253"/>
      <c r="H691" s="173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</row>
    <row r="692" ht="12.75" customHeight="1">
      <c r="A692" s="253"/>
      <c r="B692" s="254"/>
      <c r="C692" s="253"/>
      <c r="D692" s="253"/>
      <c r="E692" s="254"/>
      <c r="F692" s="253"/>
      <c r="G692" s="253"/>
      <c r="H692" s="173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174"/>
      <c r="T692" s="174"/>
      <c r="U692" s="174"/>
      <c r="V692" s="174"/>
      <c r="W692" s="174"/>
      <c r="X692" s="174"/>
      <c r="Y692" s="174"/>
      <c r="Z692" s="174"/>
    </row>
    <row r="693" ht="12.75" customHeight="1">
      <c r="A693" s="253"/>
      <c r="B693" s="254"/>
      <c r="C693" s="253"/>
      <c r="D693" s="253"/>
      <c r="E693" s="254"/>
      <c r="F693" s="253"/>
      <c r="G693" s="253"/>
      <c r="H693" s="173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</row>
    <row r="694" ht="12.75" customHeight="1">
      <c r="A694" s="253"/>
      <c r="B694" s="254"/>
      <c r="C694" s="253"/>
      <c r="D694" s="253"/>
      <c r="E694" s="254"/>
      <c r="F694" s="253"/>
      <c r="G694" s="253"/>
      <c r="H694" s="173"/>
      <c r="I694" s="174"/>
      <c r="J694" s="174"/>
      <c r="K694" s="174"/>
      <c r="L694" s="174"/>
      <c r="M694" s="174"/>
      <c r="N694" s="174"/>
      <c r="O694" s="174"/>
      <c r="P694" s="174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</row>
    <row r="695" ht="12.75" customHeight="1">
      <c r="A695" s="253"/>
      <c r="B695" s="254"/>
      <c r="C695" s="253"/>
      <c r="D695" s="253"/>
      <c r="E695" s="254"/>
      <c r="F695" s="253"/>
      <c r="G695" s="253"/>
      <c r="H695" s="173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</row>
    <row r="696" ht="12.75" customHeight="1">
      <c r="A696" s="253"/>
      <c r="B696" s="254"/>
      <c r="C696" s="253"/>
      <c r="D696" s="253"/>
      <c r="E696" s="254"/>
      <c r="F696" s="253"/>
      <c r="G696" s="253"/>
      <c r="H696" s="173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</row>
    <row r="697" ht="12.75" customHeight="1">
      <c r="A697" s="253"/>
      <c r="B697" s="254"/>
      <c r="C697" s="253"/>
      <c r="D697" s="253"/>
      <c r="E697" s="254"/>
      <c r="F697" s="253"/>
      <c r="G697" s="253"/>
      <c r="H697" s="173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</row>
    <row r="698" ht="12.75" customHeight="1">
      <c r="A698" s="253"/>
      <c r="B698" s="254"/>
      <c r="C698" s="253"/>
      <c r="D698" s="253"/>
      <c r="E698" s="254"/>
      <c r="F698" s="253"/>
      <c r="G698" s="253"/>
      <c r="H698" s="173"/>
      <c r="I698" s="174"/>
      <c r="J698" s="174"/>
      <c r="K698" s="174"/>
      <c r="L698" s="174"/>
      <c r="M698" s="174"/>
      <c r="N698" s="174"/>
      <c r="O698" s="174"/>
      <c r="P698" s="174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</row>
    <row r="699" ht="12.75" customHeight="1">
      <c r="A699" s="253"/>
      <c r="B699" s="254"/>
      <c r="C699" s="253"/>
      <c r="D699" s="253"/>
      <c r="E699" s="254"/>
      <c r="F699" s="253"/>
      <c r="G699" s="253"/>
      <c r="H699" s="173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</row>
    <row r="700" ht="12.75" customHeight="1">
      <c r="A700" s="253"/>
      <c r="B700" s="254"/>
      <c r="C700" s="253"/>
      <c r="D700" s="253"/>
      <c r="E700" s="254"/>
      <c r="F700" s="253"/>
      <c r="G700" s="253"/>
      <c r="H700" s="173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</row>
    <row r="701" ht="12.75" customHeight="1">
      <c r="A701" s="253"/>
      <c r="B701" s="254"/>
      <c r="C701" s="253"/>
      <c r="D701" s="253"/>
      <c r="E701" s="254"/>
      <c r="F701" s="253"/>
      <c r="G701" s="253"/>
      <c r="H701" s="173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</row>
    <row r="702" ht="12.75" customHeight="1">
      <c r="A702" s="253"/>
      <c r="B702" s="254"/>
      <c r="C702" s="253"/>
      <c r="D702" s="253"/>
      <c r="E702" s="254"/>
      <c r="F702" s="253"/>
      <c r="G702" s="253"/>
      <c r="H702" s="173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</row>
    <row r="703" ht="12.75" customHeight="1">
      <c r="A703" s="253"/>
      <c r="B703" s="254"/>
      <c r="C703" s="253"/>
      <c r="D703" s="253"/>
      <c r="E703" s="254"/>
      <c r="F703" s="253"/>
      <c r="G703" s="253"/>
      <c r="H703" s="173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</row>
    <row r="704" ht="12.75" customHeight="1">
      <c r="A704" s="253"/>
      <c r="B704" s="254"/>
      <c r="C704" s="253"/>
      <c r="D704" s="253"/>
      <c r="E704" s="254"/>
      <c r="F704" s="253"/>
      <c r="G704" s="253"/>
      <c r="H704" s="173"/>
      <c r="I704" s="174"/>
      <c r="J704" s="174"/>
      <c r="K704" s="174"/>
      <c r="L704" s="174"/>
      <c r="M704" s="174"/>
      <c r="N704" s="174"/>
      <c r="O704" s="174"/>
      <c r="P704" s="174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</row>
    <row r="705" ht="12.75" customHeight="1">
      <c r="A705" s="253"/>
      <c r="B705" s="254"/>
      <c r="C705" s="253"/>
      <c r="D705" s="253"/>
      <c r="E705" s="254"/>
      <c r="F705" s="253"/>
      <c r="G705" s="253"/>
      <c r="H705" s="173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</row>
    <row r="706" ht="12.75" customHeight="1">
      <c r="A706" s="253"/>
      <c r="B706" s="254"/>
      <c r="C706" s="253"/>
      <c r="D706" s="253"/>
      <c r="E706" s="254"/>
      <c r="F706" s="253"/>
      <c r="G706" s="253"/>
      <c r="H706" s="173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</row>
    <row r="707" ht="12.75" customHeight="1">
      <c r="A707" s="253"/>
      <c r="B707" s="254"/>
      <c r="C707" s="253"/>
      <c r="D707" s="253"/>
      <c r="E707" s="254"/>
      <c r="F707" s="253"/>
      <c r="G707" s="253"/>
      <c r="H707" s="173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</row>
    <row r="708" ht="12.75" customHeight="1">
      <c r="A708" s="253"/>
      <c r="B708" s="254"/>
      <c r="C708" s="253"/>
      <c r="D708" s="253"/>
      <c r="E708" s="254"/>
      <c r="F708" s="253"/>
      <c r="G708" s="253"/>
      <c r="H708" s="173"/>
      <c r="I708" s="174"/>
      <c r="J708" s="174"/>
      <c r="K708" s="174"/>
      <c r="L708" s="174"/>
      <c r="M708" s="174"/>
      <c r="N708" s="174"/>
      <c r="O708" s="174"/>
      <c r="P708" s="174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</row>
    <row r="709" ht="12.75" customHeight="1">
      <c r="A709" s="253"/>
      <c r="B709" s="254"/>
      <c r="C709" s="253"/>
      <c r="D709" s="253"/>
      <c r="E709" s="254"/>
      <c r="F709" s="253"/>
      <c r="G709" s="253"/>
      <c r="H709" s="173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</row>
    <row r="710" ht="12.75" customHeight="1">
      <c r="A710" s="253"/>
      <c r="B710" s="254"/>
      <c r="C710" s="253"/>
      <c r="D710" s="253"/>
      <c r="E710" s="254"/>
      <c r="F710" s="253"/>
      <c r="G710" s="253"/>
      <c r="H710" s="173"/>
      <c r="I710" s="174"/>
      <c r="J710" s="174"/>
      <c r="K710" s="174"/>
      <c r="L710" s="174"/>
      <c r="M710" s="174"/>
      <c r="N710" s="174"/>
      <c r="O710" s="174"/>
      <c r="P710" s="174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</row>
    <row r="711" ht="12.75" customHeight="1">
      <c r="A711" s="253"/>
      <c r="B711" s="254"/>
      <c r="C711" s="253"/>
      <c r="D711" s="253"/>
      <c r="E711" s="254"/>
      <c r="F711" s="253"/>
      <c r="G711" s="253"/>
      <c r="H711" s="173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</row>
    <row r="712" ht="12.75" customHeight="1">
      <c r="A712" s="253"/>
      <c r="B712" s="254"/>
      <c r="C712" s="253"/>
      <c r="D712" s="253"/>
      <c r="E712" s="254"/>
      <c r="F712" s="253"/>
      <c r="G712" s="253"/>
      <c r="H712" s="173"/>
      <c r="I712" s="174"/>
      <c r="J712" s="174"/>
      <c r="K712" s="174"/>
      <c r="L712" s="174"/>
      <c r="M712" s="174"/>
      <c r="N712" s="174"/>
      <c r="O712" s="174"/>
      <c r="P712" s="174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</row>
    <row r="713" ht="12.75" customHeight="1">
      <c r="A713" s="253"/>
      <c r="B713" s="254"/>
      <c r="C713" s="253"/>
      <c r="D713" s="253"/>
      <c r="E713" s="254"/>
      <c r="F713" s="253"/>
      <c r="G713" s="253"/>
      <c r="H713" s="173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</row>
    <row r="714" ht="12.75" customHeight="1">
      <c r="A714" s="253"/>
      <c r="B714" s="254"/>
      <c r="C714" s="253"/>
      <c r="D714" s="253"/>
      <c r="E714" s="254"/>
      <c r="F714" s="253"/>
      <c r="G714" s="253"/>
      <c r="H714" s="173"/>
      <c r="I714" s="174"/>
      <c r="J714" s="174"/>
      <c r="K714" s="174"/>
      <c r="L714" s="174"/>
      <c r="M714" s="174"/>
      <c r="N714" s="174"/>
      <c r="O714" s="174"/>
      <c r="P714" s="174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</row>
    <row r="715" ht="12.75" customHeight="1">
      <c r="A715" s="253"/>
      <c r="B715" s="254"/>
      <c r="C715" s="253"/>
      <c r="D715" s="253"/>
      <c r="E715" s="254"/>
      <c r="F715" s="253"/>
      <c r="G715" s="253"/>
      <c r="H715" s="173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</row>
    <row r="716" ht="12.75" customHeight="1">
      <c r="A716" s="253"/>
      <c r="B716" s="254"/>
      <c r="C716" s="253"/>
      <c r="D716" s="253"/>
      <c r="E716" s="254"/>
      <c r="F716" s="253"/>
      <c r="G716" s="253"/>
      <c r="H716" s="173"/>
      <c r="I716" s="174"/>
      <c r="J716" s="174"/>
      <c r="K716" s="174"/>
      <c r="L716" s="174"/>
      <c r="M716" s="174"/>
      <c r="N716" s="174"/>
      <c r="O716" s="174"/>
      <c r="P716" s="174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</row>
    <row r="717" ht="12.75" customHeight="1">
      <c r="A717" s="253"/>
      <c r="B717" s="254"/>
      <c r="C717" s="253"/>
      <c r="D717" s="253"/>
      <c r="E717" s="254"/>
      <c r="F717" s="253"/>
      <c r="G717" s="253"/>
      <c r="H717" s="173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</row>
    <row r="718" ht="12.75" customHeight="1">
      <c r="A718" s="253"/>
      <c r="B718" s="254"/>
      <c r="C718" s="253"/>
      <c r="D718" s="253"/>
      <c r="E718" s="254"/>
      <c r="F718" s="253"/>
      <c r="G718" s="253"/>
      <c r="H718" s="173"/>
      <c r="I718" s="174"/>
      <c r="J718" s="174"/>
      <c r="K718" s="174"/>
      <c r="L718" s="174"/>
      <c r="M718" s="174"/>
      <c r="N718" s="174"/>
      <c r="O718" s="174"/>
      <c r="P718" s="174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</row>
    <row r="719" ht="12.75" customHeight="1">
      <c r="A719" s="253"/>
      <c r="B719" s="254"/>
      <c r="C719" s="253"/>
      <c r="D719" s="253"/>
      <c r="E719" s="254"/>
      <c r="F719" s="253"/>
      <c r="G719" s="253"/>
      <c r="H719" s="173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</row>
    <row r="720" ht="12.75" customHeight="1">
      <c r="A720" s="253"/>
      <c r="B720" s="254"/>
      <c r="C720" s="253"/>
      <c r="D720" s="253"/>
      <c r="E720" s="254"/>
      <c r="F720" s="253"/>
      <c r="G720" s="253"/>
      <c r="H720" s="173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</row>
    <row r="721" ht="12.75" customHeight="1">
      <c r="A721" s="253"/>
      <c r="B721" s="254"/>
      <c r="C721" s="253"/>
      <c r="D721" s="253"/>
      <c r="E721" s="254"/>
      <c r="F721" s="253"/>
      <c r="G721" s="253"/>
      <c r="H721" s="173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</row>
    <row r="722" ht="12.75" customHeight="1">
      <c r="A722" s="253"/>
      <c r="B722" s="254"/>
      <c r="C722" s="253"/>
      <c r="D722" s="253"/>
      <c r="E722" s="254"/>
      <c r="F722" s="253"/>
      <c r="G722" s="253"/>
      <c r="H722" s="173"/>
      <c r="I722" s="174"/>
      <c r="J722" s="174"/>
      <c r="K722" s="174"/>
      <c r="L722" s="174"/>
      <c r="M722" s="174"/>
      <c r="N722" s="174"/>
      <c r="O722" s="174"/>
      <c r="P722" s="174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</row>
    <row r="723" ht="12.75" customHeight="1">
      <c r="A723" s="253"/>
      <c r="B723" s="254"/>
      <c r="C723" s="253"/>
      <c r="D723" s="253"/>
      <c r="E723" s="254"/>
      <c r="F723" s="253"/>
      <c r="G723" s="253"/>
      <c r="H723" s="173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</row>
    <row r="724" ht="12.75" customHeight="1">
      <c r="A724" s="253"/>
      <c r="B724" s="254"/>
      <c r="C724" s="253"/>
      <c r="D724" s="253"/>
      <c r="E724" s="254"/>
      <c r="F724" s="253"/>
      <c r="G724" s="253"/>
      <c r="H724" s="173"/>
      <c r="I724" s="174"/>
      <c r="J724" s="174"/>
      <c r="K724" s="174"/>
      <c r="L724" s="174"/>
      <c r="M724" s="174"/>
      <c r="N724" s="174"/>
      <c r="O724" s="174"/>
      <c r="P724" s="174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</row>
    <row r="725" ht="12.75" customHeight="1">
      <c r="A725" s="253"/>
      <c r="B725" s="254"/>
      <c r="C725" s="253"/>
      <c r="D725" s="253"/>
      <c r="E725" s="254"/>
      <c r="F725" s="253"/>
      <c r="G725" s="253"/>
      <c r="H725" s="173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</row>
    <row r="726" ht="12.75" customHeight="1">
      <c r="A726" s="253"/>
      <c r="B726" s="254"/>
      <c r="C726" s="253"/>
      <c r="D726" s="253"/>
      <c r="E726" s="254"/>
      <c r="F726" s="253"/>
      <c r="G726" s="253"/>
      <c r="H726" s="173"/>
      <c r="I726" s="174"/>
      <c r="J726" s="174"/>
      <c r="K726" s="174"/>
      <c r="L726" s="174"/>
      <c r="M726" s="174"/>
      <c r="N726" s="174"/>
      <c r="O726" s="174"/>
      <c r="P726" s="174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</row>
    <row r="727" ht="12.75" customHeight="1">
      <c r="A727" s="253"/>
      <c r="B727" s="254"/>
      <c r="C727" s="253"/>
      <c r="D727" s="253"/>
      <c r="E727" s="254"/>
      <c r="F727" s="253"/>
      <c r="G727" s="253"/>
      <c r="H727" s="173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</row>
    <row r="728" ht="12.75" customHeight="1">
      <c r="A728" s="253"/>
      <c r="B728" s="254"/>
      <c r="C728" s="253"/>
      <c r="D728" s="253"/>
      <c r="E728" s="254"/>
      <c r="F728" s="253"/>
      <c r="G728" s="253"/>
      <c r="H728" s="173"/>
      <c r="I728" s="174"/>
      <c r="J728" s="174"/>
      <c r="K728" s="174"/>
      <c r="L728" s="174"/>
      <c r="M728" s="174"/>
      <c r="N728" s="174"/>
      <c r="O728" s="174"/>
      <c r="P728" s="174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</row>
    <row r="729" ht="12.75" customHeight="1">
      <c r="A729" s="253"/>
      <c r="B729" s="254"/>
      <c r="C729" s="253"/>
      <c r="D729" s="253"/>
      <c r="E729" s="254"/>
      <c r="F729" s="253"/>
      <c r="G729" s="253"/>
      <c r="H729" s="173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</row>
    <row r="730" ht="12.75" customHeight="1">
      <c r="A730" s="253"/>
      <c r="B730" s="254"/>
      <c r="C730" s="253"/>
      <c r="D730" s="253"/>
      <c r="E730" s="254"/>
      <c r="F730" s="253"/>
      <c r="G730" s="253"/>
      <c r="H730" s="173"/>
      <c r="I730" s="174"/>
      <c r="J730" s="174"/>
      <c r="K730" s="174"/>
      <c r="L730" s="174"/>
      <c r="M730" s="174"/>
      <c r="N730" s="174"/>
      <c r="O730" s="174"/>
      <c r="P730" s="174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</row>
    <row r="731" ht="12.75" customHeight="1">
      <c r="A731" s="253"/>
      <c r="B731" s="254"/>
      <c r="C731" s="253"/>
      <c r="D731" s="253"/>
      <c r="E731" s="254"/>
      <c r="F731" s="253"/>
      <c r="G731" s="253"/>
      <c r="H731" s="173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</row>
    <row r="732" ht="12.75" customHeight="1">
      <c r="A732" s="253"/>
      <c r="B732" s="254"/>
      <c r="C732" s="253"/>
      <c r="D732" s="253"/>
      <c r="E732" s="254"/>
      <c r="F732" s="253"/>
      <c r="G732" s="253"/>
      <c r="H732" s="173"/>
      <c r="I732" s="174"/>
      <c r="J732" s="174"/>
      <c r="K732" s="174"/>
      <c r="L732" s="174"/>
      <c r="M732" s="174"/>
      <c r="N732" s="174"/>
      <c r="O732" s="174"/>
      <c r="P732" s="174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</row>
    <row r="733" ht="12.75" customHeight="1">
      <c r="A733" s="253"/>
      <c r="B733" s="254"/>
      <c r="C733" s="253"/>
      <c r="D733" s="253"/>
      <c r="E733" s="254"/>
      <c r="F733" s="253"/>
      <c r="G733" s="253"/>
      <c r="H733" s="173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</row>
    <row r="734" ht="12.75" customHeight="1">
      <c r="A734" s="253"/>
      <c r="B734" s="254"/>
      <c r="C734" s="253"/>
      <c r="D734" s="253"/>
      <c r="E734" s="254"/>
      <c r="F734" s="253"/>
      <c r="G734" s="253"/>
      <c r="H734" s="173"/>
      <c r="I734" s="174"/>
      <c r="J734" s="174"/>
      <c r="K734" s="174"/>
      <c r="L734" s="174"/>
      <c r="M734" s="174"/>
      <c r="N734" s="174"/>
      <c r="O734" s="174"/>
      <c r="P734" s="174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</row>
    <row r="735" ht="12.75" customHeight="1">
      <c r="A735" s="253"/>
      <c r="B735" s="254"/>
      <c r="C735" s="253"/>
      <c r="D735" s="253"/>
      <c r="E735" s="254"/>
      <c r="F735" s="253"/>
      <c r="G735" s="253"/>
      <c r="H735" s="173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</row>
    <row r="736" ht="12.75" customHeight="1">
      <c r="A736" s="253"/>
      <c r="B736" s="254"/>
      <c r="C736" s="253"/>
      <c r="D736" s="253"/>
      <c r="E736" s="254"/>
      <c r="F736" s="253"/>
      <c r="G736" s="253"/>
      <c r="H736" s="173"/>
      <c r="I736" s="174"/>
      <c r="J736" s="174"/>
      <c r="K736" s="174"/>
      <c r="L736" s="174"/>
      <c r="M736" s="174"/>
      <c r="N736" s="174"/>
      <c r="O736" s="174"/>
      <c r="P736" s="174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</row>
    <row r="737" ht="12.75" customHeight="1">
      <c r="A737" s="253"/>
      <c r="B737" s="254"/>
      <c r="C737" s="253"/>
      <c r="D737" s="253"/>
      <c r="E737" s="254"/>
      <c r="F737" s="253"/>
      <c r="G737" s="253"/>
      <c r="H737" s="173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</row>
    <row r="738" ht="12.75" customHeight="1">
      <c r="A738" s="253"/>
      <c r="B738" s="254"/>
      <c r="C738" s="253"/>
      <c r="D738" s="253"/>
      <c r="E738" s="254"/>
      <c r="F738" s="253"/>
      <c r="G738" s="253"/>
      <c r="H738" s="173"/>
      <c r="I738" s="174"/>
      <c r="J738" s="174"/>
      <c r="K738" s="174"/>
      <c r="L738" s="174"/>
      <c r="M738" s="174"/>
      <c r="N738" s="174"/>
      <c r="O738" s="174"/>
      <c r="P738" s="174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</row>
    <row r="739" ht="12.75" customHeight="1">
      <c r="A739" s="253"/>
      <c r="B739" s="254"/>
      <c r="C739" s="253"/>
      <c r="D739" s="253"/>
      <c r="E739" s="254"/>
      <c r="F739" s="253"/>
      <c r="G739" s="253"/>
      <c r="H739" s="173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</row>
    <row r="740" ht="12.75" customHeight="1">
      <c r="A740" s="253"/>
      <c r="B740" s="254"/>
      <c r="C740" s="253"/>
      <c r="D740" s="253"/>
      <c r="E740" s="254"/>
      <c r="F740" s="253"/>
      <c r="G740" s="253"/>
      <c r="H740" s="173"/>
      <c r="I740" s="174"/>
      <c r="J740" s="174"/>
      <c r="K740" s="174"/>
      <c r="L740" s="174"/>
      <c r="M740" s="174"/>
      <c r="N740" s="174"/>
      <c r="O740" s="174"/>
      <c r="P740" s="174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</row>
    <row r="741" ht="12.75" customHeight="1">
      <c r="A741" s="253"/>
      <c r="B741" s="254"/>
      <c r="C741" s="253"/>
      <c r="D741" s="253"/>
      <c r="E741" s="254"/>
      <c r="F741" s="253"/>
      <c r="G741" s="253"/>
      <c r="H741" s="173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</row>
    <row r="742" ht="12.75" customHeight="1">
      <c r="A742" s="253"/>
      <c r="B742" s="254"/>
      <c r="C742" s="253"/>
      <c r="D742" s="253"/>
      <c r="E742" s="254"/>
      <c r="F742" s="253"/>
      <c r="G742" s="253"/>
      <c r="H742" s="173"/>
      <c r="I742" s="174"/>
      <c r="J742" s="174"/>
      <c r="K742" s="174"/>
      <c r="L742" s="174"/>
      <c r="M742" s="174"/>
      <c r="N742" s="174"/>
      <c r="O742" s="174"/>
      <c r="P742" s="174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</row>
    <row r="743" ht="12.75" customHeight="1">
      <c r="A743" s="253"/>
      <c r="B743" s="254"/>
      <c r="C743" s="253"/>
      <c r="D743" s="253"/>
      <c r="E743" s="254"/>
      <c r="F743" s="253"/>
      <c r="G743" s="253"/>
      <c r="H743" s="173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</row>
    <row r="744" ht="12.75" customHeight="1">
      <c r="A744" s="253"/>
      <c r="B744" s="254"/>
      <c r="C744" s="253"/>
      <c r="D744" s="253"/>
      <c r="E744" s="254"/>
      <c r="F744" s="253"/>
      <c r="G744" s="253"/>
      <c r="H744" s="173"/>
      <c r="I744" s="174"/>
      <c r="J744" s="174"/>
      <c r="K744" s="174"/>
      <c r="L744" s="174"/>
      <c r="M744" s="174"/>
      <c r="N744" s="174"/>
      <c r="O744" s="174"/>
      <c r="P744" s="174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</row>
    <row r="745" ht="12.75" customHeight="1">
      <c r="A745" s="253"/>
      <c r="B745" s="254"/>
      <c r="C745" s="253"/>
      <c r="D745" s="253"/>
      <c r="E745" s="254"/>
      <c r="F745" s="253"/>
      <c r="G745" s="253"/>
      <c r="H745" s="173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</row>
    <row r="746" ht="12.75" customHeight="1">
      <c r="A746" s="253"/>
      <c r="B746" s="254"/>
      <c r="C746" s="253"/>
      <c r="D746" s="253"/>
      <c r="E746" s="254"/>
      <c r="F746" s="253"/>
      <c r="G746" s="253"/>
      <c r="H746" s="173"/>
      <c r="I746" s="174"/>
      <c r="J746" s="174"/>
      <c r="K746" s="174"/>
      <c r="L746" s="174"/>
      <c r="M746" s="174"/>
      <c r="N746" s="174"/>
      <c r="O746" s="174"/>
      <c r="P746" s="174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</row>
    <row r="747" ht="12.75" customHeight="1">
      <c r="A747" s="253"/>
      <c r="B747" s="254"/>
      <c r="C747" s="253"/>
      <c r="D747" s="253"/>
      <c r="E747" s="254"/>
      <c r="F747" s="253"/>
      <c r="G747" s="253"/>
      <c r="H747" s="173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</row>
    <row r="748" ht="12.75" customHeight="1">
      <c r="A748" s="253"/>
      <c r="B748" s="254"/>
      <c r="C748" s="253"/>
      <c r="D748" s="253"/>
      <c r="E748" s="254"/>
      <c r="F748" s="253"/>
      <c r="G748" s="253"/>
      <c r="H748" s="173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</row>
    <row r="749" ht="12.75" customHeight="1">
      <c r="A749" s="253"/>
      <c r="B749" s="254"/>
      <c r="C749" s="253"/>
      <c r="D749" s="253"/>
      <c r="E749" s="254"/>
      <c r="F749" s="253"/>
      <c r="G749" s="253"/>
      <c r="H749" s="173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</row>
    <row r="750" ht="12.75" customHeight="1">
      <c r="A750" s="253"/>
      <c r="B750" s="254"/>
      <c r="C750" s="253"/>
      <c r="D750" s="253"/>
      <c r="E750" s="254"/>
      <c r="F750" s="253"/>
      <c r="G750" s="253"/>
      <c r="H750" s="173"/>
      <c r="I750" s="174"/>
      <c r="J750" s="174"/>
      <c r="K750" s="174"/>
      <c r="L750" s="174"/>
      <c r="M750" s="174"/>
      <c r="N750" s="174"/>
      <c r="O750" s="174"/>
      <c r="P750" s="174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</row>
    <row r="751" ht="12.75" customHeight="1">
      <c r="A751" s="253"/>
      <c r="B751" s="254"/>
      <c r="C751" s="253"/>
      <c r="D751" s="253"/>
      <c r="E751" s="254"/>
      <c r="F751" s="253"/>
      <c r="G751" s="253"/>
      <c r="H751" s="173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</row>
    <row r="752" ht="12.75" customHeight="1">
      <c r="A752" s="253"/>
      <c r="B752" s="254"/>
      <c r="C752" s="253"/>
      <c r="D752" s="253"/>
      <c r="E752" s="254"/>
      <c r="F752" s="253"/>
      <c r="G752" s="253"/>
      <c r="H752" s="173"/>
      <c r="I752" s="174"/>
      <c r="J752" s="174"/>
      <c r="K752" s="174"/>
      <c r="L752" s="174"/>
      <c r="M752" s="174"/>
      <c r="N752" s="174"/>
      <c r="O752" s="174"/>
      <c r="P752" s="174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</row>
    <row r="753" ht="12.75" customHeight="1">
      <c r="A753" s="253"/>
      <c r="B753" s="254"/>
      <c r="C753" s="253"/>
      <c r="D753" s="253"/>
      <c r="E753" s="254"/>
      <c r="F753" s="253"/>
      <c r="G753" s="253"/>
      <c r="H753" s="173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</row>
    <row r="754" ht="12.75" customHeight="1">
      <c r="A754" s="253"/>
      <c r="B754" s="254"/>
      <c r="C754" s="253"/>
      <c r="D754" s="253"/>
      <c r="E754" s="254"/>
      <c r="F754" s="253"/>
      <c r="G754" s="253"/>
      <c r="H754" s="173"/>
      <c r="I754" s="174"/>
      <c r="J754" s="174"/>
      <c r="K754" s="174"/>
      <c r="L754" s="174"/>
      <c r="M754" s="174"/>
      <c r="N754" s="174"/>
      <c r="O754" s="174"/>
      <c r="P754" s="174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</row>
    <row r="755" ht="12.75" customHeight="1">
      <c r="A755" s="253"/>
      <c r="B755" s="254"/>
      <c r="C755" s="253"/>
      <c r="D755" s="253"/>
      <c r="E755" s="254"/>
      <c r="F755" s="253"/>
      <c r="G755" s="253"/>
      <c r="H755" s="173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</row>
    <row r="756" ht="12.75" customHeight="1">
      <c r="A756" s="253"/>
      <c r="B756" s="254"/>
      <c r="C756" s="253"/>
      <c r="D756" s="253"/>
      <c r="E756" s="254"/>
      <c r="F756" s="253"/>
      <c r="G756" s="253"/>
      <c r="H756" s="173"/>
      <c r="I756" s="174"/>
      <c r="J756" s="174"/>
      <c r="K756" s="174"/>
      <c r="L756" s="174"/>
      <c r="M756" s="174"/>
      <c r="N756" s="174"/>
      <c r="O756" s="174"/>
      <c r="P756" s="174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</row>
    <row r="757" ht="12.75" customHeight="1">
      <c r="A757" s="253"/>
      <c r="B757" s="254"/>
      <c r="C757" s="253"/>
      <c r="D757" s="253"/>
      <c r="E757" s="254"/>
      <c r="F757" s="253"/>
      <c r="G757" s="253"/>
      <c r="H757" s="173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</row>
    <row r="758" ht="12.75" customHeight="1">
      <c r="A758" s="253"/>
      <c r="B758" s="254"/>
      <c r="C758" s="253"/>
      <c r="D758" s="253"/>
      <c r="E758" s="254"/>
      <c r="F758" s="253"/>
      <c r="G758" s="253"/>
      <c r="H758" s="173"/>
      <c r="I758" s="174"/>
      <c r="J758" s="174"/>
      <c r="K758" s="174"/>
      <c r="L758" s="174"/>
      <c r="M758" s="174"/>
      <c r="N758" s="174"/>
      <c r="O758" s="174"/>
      <c r="P758" s="174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</row>
    <row r="759" ht="12.75" customHeight="1">
      <c r="A759" s="253"/>
      <c r="B759" s="254"/>
      <c r="C759" s="253"/>
      <c r="D759" s="253"/>
      <c r="E759" s="254"/>
      <c r="F759" s="253"/>
      <c r="G759" s="253"/>
      <c r="H759" s="173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</row>
    <row r="760" ht="12.75" customHeight="1">
      <c r="A760" s="253"/>
      <c r="B760" s="254"/>
      <c r="C760" s="253"/>
      <c r="D760" s="253"/>
      <c r="E760" s="254"/>
      <c r="F760" s="253"/>
      <c r="G760" s="253"/>
      <c r="H760" s="173"/>
      <c r="I760" s="174"/>
      <c r="J760" s="174"/>
      <c r="K760" s="174"/>
      <c r="L760" s="174"/>
      <c r="M760" s="174"/>
      <c r="N760" s="174"/>
      <c r="O760" s="174"/>
      <c r="P760" s="174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</row>
    <row r="761" ht="12.75" customHeight="1">
      <c r="A761" s="253"/>
      <c r="B761" s="254"/>
      <c r="C761" s="253"/>
      <c r="D761" s="253"/>
      <c r="E761" s="254"/>
      <c r="F761" s="253"/>
      <c r="G761" s="253"/>
      <c r="H761" s="173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</row>
    <row r="762" ht="12.75" customHeight="1">
      <c r="A762" s="253"/>
      <c r="B762" s="254"/>
      <c r="C762" s="253"/>
      <c r="D762" s="253"/>
      <c r="E762" s="254"/>
      <c r="F762" s="253"/>
      <c r="G762" s="253"/>
      <c r="H762" s="173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</row>
    <row r="763" ht="12.75" customHeight="1">
      <c r="A763" s="253"/>
      <c r="B763" s="254"/>
      <c r="C763" s="253"/>
      <c r="D763" s="253"/>
      <c r="E763" s="254"/>
      <c r="F763" s="253"/>
      <c r="G763" s="253"/>
      <c r="H763" s="173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</row>
    <row r="764" ht="12.75" customHeight="1">
      <c r="A764" s="253"/>
      <c r="B764" s="254"/>
      <c r="C764" s="253"/>
      <c r="D764" s="253"/>
      <c r="E764" s="254"/>
      <c r="F764" s="253"/>
      <c r="G764" s="253"/>
      <c r="H764" s="173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</row>
    <row r="765" ht="12.75" customHeight="1">
      <c r="A765" s="253"/>
      <c r="B765" s="254"/>
      <c r="C765" s="253"/>
      <c r="D765" s="253"/>
      <c r="E765" s="254"/>
      <c r="F765" s="253"/>
      <c r="G765" s="253"/>
      <c r="H765" s="173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</row>
    <row r="766" ht="12.75" customHeight="1">
      <c r="A766" s="253"/>
      <c r="B766" s="254"/>
      <c r="C766" s="253"/>
      <c r="D766" s="253"/>
      <c r="E766" s="254"/>
      <c r="F766" s="253"/>
      <c r="G766" s="253"/>
      <c r="H766" s="173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</row>
    <row r="767" ht="12.75" customHeight="1">
      <c r="A767" s="253"/>
      <c r="B767" s="254"/>
      <c r="C767" s="253"/>
      <c r="D767" s="253"/>
      <c r="E767" s="254"/>
      <c r="F767" s="253"/>
      <c r="G767" s="253"/>
      <c r="H767" s="173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</row>
    <row r="768" ht="12.75" customHeight="1">
      <c r="A768" s="253"/>
      <c r="B768" s="254"/>
      <c r="C768" s="253"/>
      <c r="D768" s="253"/>
      <c r="E768" s="254"/>
      <c r="F768" s="253"/>
      <c r="G768" s="253"/>
      <c r="H768" s="173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</row>
    <row r="769" ht="12.75" customHeight="1">
      <c r="A769" s="253"/>
      <c r="B769" s="254"/>
      <c r="C769" s="253"/>
      <c r="D769" s="253"/>
      <c r="E769" s="254"/>
      <c r="F769" s="253"/>
      <c r="G769" s="253"/>
      <c r="H769" s="173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</row>
    <row r="770" ht="12.75" customHeight="1">
      <c r="A770" s="253"/>
      <c r="B770" s="254"/>
      <c r="C770" s="253"/>
      <c r="D770" s="253"/>
      <c r="E770" s="254"/>
      <c r="F770" s="253"/>
      <c r="G770" s="253"/>
      <c r="H770" s="173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</row>
    <row r="771" ht="12.75" customHeight="1">
      <c r="A771" s="253"/>
      <c r="B771" s="254"/>
      <c r="C771" s="253"/>
      <c r="D771" s="253"/>
      <c r="E771" s="254"/>
      <c r="F771" s="253"/>
      <c r="G771" s="253"/>
      <c r="H771" s="173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</row>
    <row r="772" ht="12.75" customHeight="1">
      <c r="A772" s="253"/>
      <c r="B772" s="254"/>
      <c r="C772" s="253"/>
      <c r="D772" s="253"/>
      <c r="E772" s="254"/>
      <c r="F772" s="253"/>
      <c r="G772" s="253"/>
      <c r="H772" s="173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</row>
    <row r="773" ht="12.75" customHeight="1">
      <c r="A773" s="253"/>
      <c r="B773" s="254"/>
      <c r="C773" s="253"/>
      <c r="D773" s="253"/>
      <c r="E773" s="254"/>
      <c r="F773" s="253"/>
      <c r="G773" s="253"/>
      <c r="H773" s="173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</row>
    <row r="774" ht="12.75" customHeight="1">
      <c r="A774" s="253"/>
      <c r="B774" s="254"/>
      <c r="C774" s="253"/>
      <c r="D774" s="253"/>
      <c r="E774" s="254"/>
      <c r="F774" s="253"/>
      <c r="G774" s="253"/>
      <c r="H774" s="173"/>
      <c r="I774" s="174"/>
      <c r="J774" s="174"/>
      <c r="K774" s="174"/>
      <c r="L774" s="174"/>
      <c r="M774" s="174"/>
      <c r="N774" s="174"/>
      <c r="O774" s="174"/>
      <c r="P774" s="174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</row>
    <row r="775" ht="12.75" customHeight="1">
      <c r="A775" s="253"/>
      <c r="B775" s="254"/>
      <c r="C775" s="253"/>
      <c r="D775" s="253"/>
      <c r="E775" s="254"/>
      <c r="F775" s="253"/>
      <c r="G775" s="253"/>
      <c r="H775" s="173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</row>
    <row r="776" ht="12.75" customHeight="1">
      <c r="A776" s="253"/>
      <c r="B776" s="254"/>
      <c r="C776" s="253"/>
      <c r="D776" s="253"/>
      <c r="E776" s="254"/>
      <c r="F776" s="253"/>
      <c r="G776" s="253"/>
      <c r="H776" s="173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</row>
    <row r="777" ht="12.75" customHeight="1">
      <c r="A777" s="253"/>
      <c r="B777" s="254"/>
      <c r="C777" s="253"/>
      <c r="D777" s="253"/>
      <c r="E777" s="254"/>
      <c r="F777" s="253"/>
      <c r="G777" s="253"/>
      <c r="H777" s="173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</row>
    <row r="778" ht="12.75" customHeight="1">
      <c r="A778" s="253"/>
      <c r="B778" s="254"/>
      <c r="C778" s="253"/>
      <c r="D778" s="253"/>
      <c r="E778" s="254"/>
      <c r="F778" s="253"/>
      <c r="G778" s="253"/>
      <c r="H778" s="173"/>
      <c r="I778" s="174"/>
      <c r="J778" s="174"/>
      <c r="K778" s="174"/>
      <c r="L778" s="174"/>
      <c r="M778" s="174"/>
      <c r="N778" s="174"/>
      <c r="O778" s="174"/>
      <c r="P778" s="174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</row>
    <row r="779" ht="12.75" customHeight="1">
      <c r="A779" s="253"/>
      <c r="B779" s="254"/>
      <c r="C779" s="253"/>
      <c r="D779" s="253"/>
      <c r="E779" s="254"/>
      <c r="F779" s="253"/>
      <c r="G779" s="253"/>
      <c r="H779" s="173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</row>
    <row r="780" ht="12.75" customHeight="1">
      <c r="A780" s="253"/>
      <c r="B780" s="254"/>
      <c r="C780" s="253"/>
      <c r="D780" s="253"/>
      <c r="E780" s="254"/>
      <c r="F780" s="253"/>
      <c r="G780" s="253"/>
      <c r="H780" s="173"/>
      <c r="I780" s="174"/>
      <c r="J780" s="174"/>
      <c r="K780" s="174"/>
      <c r="L780" s="174"/>
      <c r="M780" s="174"/>
      <c r="N780" s="174"/>
      <c r="O780" s="174"/>
      <c r="P780" s="174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</row>
    <row r="781" ht="12.75" customHeight="1">
      <c r="A781" s="253"/>
      <c r="B781" s="254"/>
      <c r="C781" s="253"/>
      <c r="D781" s="253"/>
      <c r="E781" s="254"/>
      <c r="F781" s="253"/>
      <c r="G781" s="253"/>
      <c r="H781" s="173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</row>
    <row r="782" ht="12.75" customHeight="1">
      <c r="A782" s="253"/>
      <c r="B782" s="254"/>
      <c r="C782" s="253"/>
      <c r="D782" s="253"/>
      <c r="E782" s="254"/>
      <c r="F782" s="253"/>
      <c r="G782" s="253"/>
      <c r="H782" s="173"/>
      <c r="I782" s="174"/>
      <c r="J782" s="174"/>
      <c r="K782" s="174"/>
      <c r="L782" s="174"/>
      <c r="M782" s="174"/>
      <c r="N782" s="174"/>
      <c r="O782" s="174"/>
      <c r="P782" s="174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</row>
    <row r="783" ht="12.75" customHeight="1">
      <c r="A783" s="253"/>
      <c r="B783" s="254"/>
      <c r="C783" s="253"/>
      <c r="D783" s="253"/>
      <c r="E783" s="254"/>
      <c r="F783" s="253"/>
      <c r="G783" s="253"/>
      <c r="H783" s="173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</row>
    <row r="784" ht="12.75" customHeight="1">
      <c r="A784" s="253"/>
      <c r="B784" s="254"/>
      <c r="C784" s="253"/>
      <c r="D784" s="253"/>
      <c r="E784" s="254"/>
      <c r="F784" s="253"/>
      <c r="G784" s="253"/>
      <c r="H784" s="173"/>
      <c r="I784" s="174"/>
      <c r="J784" s="174"/>
      <c r="K784" s="174"/>
      <c r="L784" s="174"/>
      <c r="M784" s="174"/>
      <c r="N784" s="174"/>
      <c r="O784" s="174"/>
      <c r="P784" s="174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</row>
    <row r="785" ht="12.75" customHeight="1">
      <c r="A785" s="253"/>
      <c r="B785" s="254"/>
      <c r="C785" s="253"/>
      <c r="D785" s="253"/>
      <c r="E785" s="254"/>
      <c r="F785" s="253"/>
      <c r="G785" s="253"/>
      <c r="H785" s="173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</row>
    <row r="786" ht="12.75" customHeight="1">
      <c r="A786" s="253"/>
      <c r="B786" s="254"/>
      <c r="C786" s="253"/>
      <c r="D786" s="253"/>
      <c r="E786" s="254"/>
      <c r="F786" s="253"/>
      <c r="G786" s="253"/>
      <c r="H786" s="173"/>
      <c r="I786" s="174"/>
      <c r="J786" s="174"/>
      <c r="K786" s="174"/>
      <c r="L786" s="174"/>
      <c r="M786" s="174"/>
      <c r="N786" s="174"/>
      <c r="O786" s="174"/>
      <c r="P786" s="174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</row>
    <row r="787" ht="12.75" customHeight="1">
      <c r="A787" s="253"/>
      <c r="B787" s="254"/>
      <c r="C787" s="253"/>
      <c r="D787" s="253"/>
      <c r="E787" s="254"/>
      <c r="F787" s="253"/>
      <c r="G787" s="253"/>
      <c r="H787" s="173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</row>
    <row r="788" ht="12.75" customHeight="1">
      <c r="A788" s="253"/>
      <c r="B788" s="254"/>
      <c r="C788" s="253"/>
      <c r="D788" s="253"/>
      <c r="E788" s="254"/>
      <c r="F788" s="253"/>
      <c r="G788" s="253"/>
      <c r="H788" s="173"/>
      <c r="I788" s="174"/>
      <c r="J788" s="174"/>
      <c r="K788" s="174"/>
      <c r="L788" s="174"/>
      <c r="M788" s="174"/>
      <c r="N788" s="174"/>
      <c r="O788" s="174"/>
      <c r="P788" s="174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</row>
    <row r="789" ht="12.75" customHeight="1">
      <c r="A789" s="253"/>
      <c r="B789" s="254"/>
      <c r="C789" s="253"/>
      <c r="D789" s="253"/>
      <c r="E789" s="254"/>
      <c r="F789" s="253"/>
      <c r="G789" s="253"/>
      <c r="H789" s="173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</row>
    <row r="790" ht="12.75" customHeight="1">
      <c r="A790" s="253"/>
      <c r="B790" s="254"/>
      <c r="C790" s="253"/>
      <c r="D790" s="253"/>
      <c r="E790" s="254"/>
      <c r="F790" s="253"/>
      <c r="G790" s="253"/>
      <c r="H790" s="173"/>
      <c r="I790" s="174"/>
      <c r="J790" s="174"/>
      <c r="K790" s="174"/>
      <c r="L790" s="174"/>
      <c r="M790" s="174"/>
      <c r="N790" s="174"/>
      <c r="O790" s="174"/>
      <c r="P790" s="174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</row>
    <row r="791" ht="12.75" customHeight="1">
      <c r="A791" s="253"/>
      <c r="B791" s="254"/>
      <c r="C791" s="253"/>
      <c r="D791" s="253"/>
      <c r="E791" s="254"/>
      <c r="F791" s="253"/>
      <c r="G791" s="253"/>
      <c r="H791" s="173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</row>
    <row r="792" ht="12.75" customHeight="1">
      <c r="A792" s="253"/>
      <c r="B792" s="254"/>
      <c r="C792" s="253"/>
      <c r="D792" s="253"/>
      <c r="E792" s="254"/>
      <c r="F792" s="253"/>
      <c r="G792" s="253"/>
      <c r="H792" s="173"/>
      <c r="I792" s="174"/>
      <c r="J792" s="174"/>
      <c r="K792" s="174"/>
      <c r="L792" s="174"/>
      <c r="M792" s="174"/>
      <c r="N792" s="174"/>
      <c r="O792" s="174"/>
      <c r="P792" s="174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</row>
    <row r="793" ht="12.75" customHeight="1">
      <c r="A793" s="253"/>
      <c r="B793" s="254"/>
      <c r="C793" s="253"/>
      <c r="D793" s="253"/>
      <c r="E793" s="254"/>
      <c r="F793" s="253"/>
      <c r="G793" s="253"/>
      <c r="H793" s="173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</row>
    <row r="794" ht="12.75" customHeight="1">
      <c r="A794" s="253"/>
      <c r="B794" s="254"/>
      <c r="C794" s="253"/>
      <c r="D794" s="253"/>
      <c r="E794" s="254"/>
      <c r="F794" s="253"/>
      <c r="G794" s="253"/>
      <c r="H794" s="173"/>
      <c r="I794" s="174"/>
      <c r="J794" s="174"/>
      <c r="K794" s="174"/>
      <c r="L794" s="174"/>
      <c r="M794" s="174"/>
      <c r="N794" s="174"/>
      <c r="O794" s="174"/>
      <c r="P794" s="174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</row>
    <row r="795" ht="12.75" customHeight="1">
      <c r="A795" s="253"/>
      <c r="B795" s="254"/>
      <c r="C795" s="253"/>
      <c r="D795" s="253"/>
      <c r="E795" s="254"/>
      <c r="F795" s="253"/>
      <c r="G795" s="253"/>
      <c r="H795" s="173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</row>
    <row r="796" ht="12.75" customHeight="1">
      <c r="A796" s="253"/>
      <c r="B796" s="254"/>
      <c r="C796" s="253"/>
      <c r="D796" s="253"/>
      <c r="E796" s="254"/>
      <c r="F796" s="253"/>
      <c r="G796" s="253"/>
      <c r="H796" s="173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</row>
    <row r="797" ht="12.75" customHeight="1">
      <c r="A797" s="253"/>
      <c r="B797" s="254"/>
      <c r="C797" s="253"/>
      <c r="D797" s="253"/>
      <c r="E797" s="254"/>
      <c r="F797" s="253"/>
      <c r="G797" s="253"/>
      <c r="H797" s="173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</row>
    <row r="798" ht="12.75" customHeight="1">
      <c r="A798" s="253"/>
      <c r="B798" s="254"/>
      <c r="C798" s="253"/>
      <c r="D798" s="253"/>
      <c r="E798" s="254"/>
      <c r="F798" s="253"/>
      <c r="G798" s="253"/>
      <c r="H798" s="173"/>
      <c r="I798" s="174"/>
      <c r="J798" s="174"/>
      <c r="K798" s="174"/>
      <c r="L798" s="174"/>
      <c r="M798" s="174"/>
      <c r="N798" s="174"/>
      <c r="O798" s="174"/>
      <c r="P798" s="174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</row>
    <row r="799" ht="12.75" customHeight="1">
      <c r="A799" s="253"/>
      <c r="B799" s="254"/>
      <c r="C799" s="253"/>
      <c r="D799" s="253"/>
      <c r="E799" s="254"/>
      <c r="F799" s="253"/>
      <c r="G799" s="253"/>
      <c r="H799" s="173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</row>
    <row r="800" ht="12.75" customHeight="1">
      <c r="A800" s="253"/>
      <c r="B800" s="254"/>
      <c r="C800" s="253"/>
      <c r="D800" s="253"/>
      <c r="E800" s="254"/>
      <c r="F800" s="253"/>
      <c r="G800" s="253"/>
      <c r="H800" s="173"/>
      <c r="I800" s="174"/>
      <c r="J800" s="174"/>
      <c r="K800" s="174"/>
      <c r="L800" s="174"/>
      <c r="M800" s="174"/>
      <c r="N800" s="174"/>
      <c r="O800" s="174"/>
      <c r="P800" s="174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</row>
    <row r="801" ht="12.75" customHeight="1">
      <c r="A801" s="253"/>
      <c r="B801" s="254"/>
      <c r="C801" s="253"/>
      <c r="D801" s="253"/>
      <c r="E801" s="254"/>
      <c r="F801" s="253"/>
      <c r="G801" s="253"/>
      <c r="H801" s="173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</row>
    <row r="802" ht="12.75" customHeight="1">
      <c r="A802" s="253"/>
      <c r="B802" s="254"/>
      <c r="C802" s="253"/>
      <c r="D802" s="253"/>
      <c r="E802" s="254"/>
      <c r="F802" s="253"/>
      <c r="G802" s="253"/>
      <c r="H802" s="173"/>
      <c r="I802" s="174"/>
      <c r="J802" s="174"/>
      <c r="K802" s="174"/>
      <c r="L802" s="174"/>
      <c r="M802" s="174"/>
      <c r="N802" s="174"/>
      <c r="O802" s="174"/>
      <c r="P802" s="174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</row>
    <row r="803" ht="12.75" customHeight="1">
      <c r="A803" s="253"/>
      <c r="B803" s="254"/>
      <c r="C803" s="253"/>
      <c r="D803" s="253"/>
      <c r="E803" s="254"/>
      <c r="F803" s="253"/>
      <c r="G803" s="253"/>
      <c r="H803" s="173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</row>
    <row r="804" ht="12.75" customHeight="1">
      <c r="A804" s="253"/>
      <c r="B804" s="254"/>
      <c r="C804" s="253"/>
      <c r="D804" s="253"/>
      <c r="E804" s="254"/>
      <c r="F804" s="253"/>
      <c r="G804" s="253"/>
      <c r="H804" s="173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</row>
    <row r="805" ht="12.75" customHeight="1">
      <c r="A805" s="253"/>
      <c r="B805" s="254"/>
      <c r="C805" s="253"/>
      <c r="D805" s="253"/>
      <c r="E805" s="254"/>
      <c r="F805" s="253"/>
      <c r="G805" s="253"/>
      <c r="H805" s="173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</row>
    <row r="806" ht="12.75" customHeight="1">
      <c r="A806" s="253"/>
      <c r="B806" s="254"/>
      <c r="C806" s="253"/>
      <c r="D806" s="253"/>
      <c r="E806" s="254"/>
      <c r="F806" s="253"/>
      <c r="G806" s="253"/>
      <c r="H806" s="173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</row>
    <row r="807" ht="12.75" customHeight="1">
      <c r="A807" s="253"/>
      <c r="B807" s="254"/>
      <c r="C807" s="253"/>
      <c r="D807" s="253"/>
      <c r="E807" s="254"/>
      <c r="F807" s="253"/>
      <c r="G807" s="253"/>
      <c r="H807" s="173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</row>
    <row r="808" ht="12.75" customHeight="1">
      <c r="A808" s="253"/>
      <c r="B808" s="254"/>
      <c r="C808" s="253"/>
      <c r="D808" s="253"/>
      <c r="E808" s="254"/>
      <c r="F808" s="253"/>
      <c r="G808" s="253"/>
      <c r="H808" s="173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</row>
    <row r="809" ht="12.75" customHeight="1">
      <c r="A809" s="253"/>
      <c r="B809" s="254"/>
      <c r="C809" s="253"/>
      <c r="D809" s="253"/>
      <c r="E809" s="254"/>
      <c r="F809" s="253"/>
      <c r="G809" s="253"/>
      <c r="H809" s="173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</row>
    <row r="810" ht="12.75" customHeight="1">
      <c r="A810" s="253"/>
      <c r="B810" s="254"/>
      <c r="C810" s="253"/>
      <c r="D810" s="253"/>
      <c r="E810" s="254"/>
      <c r="F810" s="253"/>
      <c r="G810" s="253"/>
      <c r="H810" s="173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</row>
    <row r="811" ht="12.75" customHeight="1">
      <c r="A811" s="253"/>
      <c r="B811" s="254"/>
      <c r="C811" s="253"/>
      <c r="D811" s="253"/>
      <c r="E811" s="254"/>
      <c r="F811" s="253"/>
      <c r="G811" s="253"/>
      <c r="H811" s="173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</row>
    <row r="812" ht="12.75" customHeight="1">
      <c r="A812" s="253"/>
      <c r="B812" s="254"/>
      <c r="C812" s="253"/>
      <c r="D812" s="253"/>
      <c r="E812" s="254"/>
      <c r="F812" s="253"/>
      <c r="G812" s="253"/>
      <c r="H812" s="173"/>
      <c r="I812" s="174"/>
      <c r="J812" s="174"/>
      <c r="K812" s="174"/>
      <c r="L812" s="174"/>
      <c r="M812" s="174"/>
      <c r="N812" s="174"/>
      <c r="O812" s="174"/>
      <c r="P812" s="174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</row>
    <row r="813" ht="12.75" customHeight="1">
      <c r="A813" s="253"/>
      <c r="B813" s="254"/>
      <c r="C813" s="253"/>
      <c r="D813" s="253"/>
      <c r="E813" s="254"/>
      <c r="F813" s="253"/>
      <c r="G813" s="253"/>
      <c r="H813" s="173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</row>
    <row r="814" ht="12.75" customHeight="1">
      <c r="A814" s="253"/>
      <c r="B814" s="254"/>
      <c r="C814" s="253"/>
      <c r="D814" s="253"/>
      <c r="E814" s="254"/>
      <c r="F814" s="253"/>
      <c r="G814" s="253"/>
      <c r="H814" s="173"/>
      <c r="I814" s="174"/>
      <c r="J814" s="174"/>
      <c r="K814" s="174"/>
      <c r="L814" s="174"/>
      <c r="M814" s="174"/>
      <c r="N814" s="174"/>
      <c r="O814" s="174"/>
      <c r="P814" s="174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</row>
    <row r="815" ht="12.75" customHeight="1">
      <c r="A815" s="253"/>
      <c r="B815" s="254"/>
      <c r="C815" s="253"/>
      <c r="D815" s="253"/>
      <c r="E815" s="254"/>
      <c r="F815" s="253"/>
      <c r="G815" s="253"/>
      <c r="H815" s="173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</row>
    <row r="816" ht="12.75" customHeight="1">
      <c r="A816" s="253"/>
      <c r="B816" s="254"/>
      <c r="C816" s="253"/>
      <c r="D816" s="253"/>
      <c r="E816" s="254"/>
      <c r="F816" s="253"/>
      <c r="G816" s="253"/>
      <c r="H816" s="173"/>
      <c r="I816" s="174"/>
      <c r="J816" s="174"/>
      <c r="K816" s="174"/>
      <c r="L816" s="174"/>
      <c r="M816" s="174"/>
      <c r="N816" s="174"/>
      <c r="O816" s="174"/>
      <c r="P816" s="174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</row>
    <row r="817" ht="12.75" customHeight="1">
      <c r="A817" s="253"/>
      <c r="B817" s="254"/>
      <c r="C817" s="253"/>
      <c r="D817" s="253"/>
      <c r="E817" s="254"/>
      <c r="F817" s="253"/>
      <c r="G817" s="253"/>
      <c r="H817" s="173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</row>
    <row r="818" ht="12.75" customHeight="1">
      <c r="A818" s="253"/>
      <c r="B818" s="254"/>
      <c r="C818" s="253"/>
      <c r="D818" s="253"/>
      <c r="E818" s="254"/>
      <c r="F818" s="253"/>
      <c r="G818" s="253"/>
      <c r="H818" s="173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</row>
    <row r="819" ht="12.75" customHeight="1">
      <c r="A819" s="253"/>
      <c r="B819" s="254"/>
      <c r="C819" s="253"/>
      <c r="D819" s="253"/>
      <c r="E819" s="254"/>
      <c r="F819" s="253"/>
      <c r="G819" s="253"/>
      <c r="H819" s="173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</row>
    <row r="820" ht="12.75" customHeight="1">
      <c r="A820" s="253"/>
      <c r="B820" s="254"/>
      <c r="C820" s="253"/>
      <c r="D820" s="253"/>
      <c r="E820" s="254"/>
      <c r="F820" s="253"/>
      <c r="G820" s="253"/>
      <c r="H820" s="173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</row>
    <row r="821" ht="12.75" customHeight="1">
      <c r="A821" s="253"/>
      <c r="B821" s="254"/>
      <c r="C821" s="253"/>
      <c r="D821" s="253"/>
      <c r="E821" s="254"/>
      <c r="F821" s="253"/>
      <c r="G821" s="253"/>
      <c r="H821" s="173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</row>
    <row r="822" ht="12.75" customHeight="1">
      <c r="A822" s="253"/>
      <c r="B822" s="254"/>
      <c r="C822" s="253"/>
      <c r="D822" s="253"/>
      <c r="E822" s="254"/>
      <c r="F822" s="253"/>
      <c r="G822" s="253"/>
      <c r="H822" s="173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</row>
    <row r="823" ht="12.75" customHeight="1">
      <c r="A823" s="253"/>
      <c r="B823" s="254"/>
      <c r="C823" s="253"/>
      <c r="D823" s="253"/>
      <c r="E823" s="254"/>
      <c r="F823" s="253"/>
      <c r="G823" s="253"/>
      <c r="H823" s="173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</row>
    <row r="824" ht="12.75" customHeight="1">
      <c r="A824" s="253"/>
      <c r="B824" s="254"/>
      <c r="C824" s="253"/>
      <c r="D824" s="253"/>
      <c r="E824" s="254"/>
      <c r="F824" s="253"/>
      <c r="G824" s="253"/>
      <c r="H824" s="173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</row>
    <row r="825" ht="12.75" customHeight="1">
      <c r="A825" s="253"/>
      <c r="B825" s="254"/>
      <c r="C825" s="253"/>
      <c r="D825" s="253"/>
      <c r="E825" s="254"/>
      <c r="F825" s="253"/>
      <c r="G825" s="253"/>
      <c r="H825" s="173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</row>
    <row r="826" ht="12.75" customHeight="1">
      <c r="A826" s="253"/>
      <c r="B826" s="254"/>
      <c r="C826" s="253"/>
      <c r="D826" s="253"/>
      <c r="E826" s="254"/>
      <c r="F826" s="253"/>
      <c r="G826" s="253"/>
      <c r="H826" s="173"/>
      <c r="I826" s="174"/>
      <c r="J826" s="174"/>
      <c r="K826" s="174"/>
      <c r="L826" s="174"/>
      <c r="M826" s="174"/>
      <c r="N826" s="174"/>
      <c r="O826" s="174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</row>
    <row r="827" ht="12.75" customHeight="1">
      <c r="A827" s="253"/>
      <c r="B827" s="254"/>
      <c r="C827" s="253"/>
      <c r="D827" s="253"/>
      <c r="E827" s="254"/>
      <c r="F827" s="253"/>
      <c r="G827" s="253"/>
      <c r="H827" s="173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</row>
    <row r="828" ht="12.75" customHeight="1">
      <c r="A828" s="253"/>
      <c r="B828" s="254"/>
      <c r="C828" s="253"/>
      <c r="D828" s="253"/>
      <c r="E828" s="254"/>
      <c r="F828" s="253"/>
      <c r="G828" s="253"/>
      <c r="H828" s="173"/>
      <c r="I828" s="174"/>
      <c r="J828" s="174"/>
      <c r="K828" s="174"/>
      <c r="L828" s="174"/>
      <c r="M828" s="174"/>
      <c r="N828" s="174"/>
      <c r="O828" s="174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</row>
    <row r="829" ht="12.75" customHeight="1">
      <c r="A829" s="253"/>
      <c r="B829" s="254"/>
      <c r="C829" s="253"/>
      <c r="D829" s="253"/>
      <c r="E829" s="254"/>
      <c r="F829" s="253"/>
      <c r="G829" s="253"/>
      <c r="H829" s="173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</row>
    <row r="830" ht="12.75" customHeight="1">
      <c r="A830" s="253"/>
      <c r="B830" s="254"/>
      <c r="C830" s="253"/>
      <c r="D830" s="253"/>
      <c r="E830" s="254"/>
      <c r="F830" s="253"/>
      <c r="G830" s="253"/>
      <c r="H830" s="173"/>
      <c r="I830" s="174"/>
      <c r="J830" s="174"/>
      <c r="K830" s="174"/>
      <c r="L830" s="174"/>
      <c r="M830" s="174"/>
      <c r="N830" s="174"/>
      <c r="O830" s="174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</row>
    <row r="831" ht="12.75" customHeight="1">
      <c r="A831" s="253"/>
      <c r="B831" s="254"/>
      <c r="C831" s="253"/>
      <c r="D831" s="253"/>
      <c r="E831" s="254"/>
      <c r="F831" s="253"/>
      <c r="G831" s="253"/>
      <c r="H831" s="173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</row>
    <row r="832" ht="12.75" customHeight="1">
      <c r="A832" s="253"/>
      <c r="B832" s="254"/>
      <c r="C832" s="253"/>
      <c r="D832" s="253"/>
      <c r="E832" s="254"/>
      <c r="F832" s="253"/>
      <c r="G832" s="253"/>
      <c r="H832" s="173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</row>
    <row r="833" ht="12.75" customHeight="1">
      <c r="A833" s="253"/>
      <c r="B833" s="254"/>
      <c r="C833" s="253"/>
      <c r="D833" s="253"/>
      <c r="E833" s="254"/>
      <c r="F833" s="253"/>
      <c r="G833" s="253"/>
      <c r="H833" s="173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</row>
    <row r="834" ht="12.75" customHeight="1">
      <c r="A834" s="253"/>
      <c r="B834" s="254"/>
      <c r="C834" s="253"/>
      <c r="D834" s="253"/>
      <c r="E834" s="254"/>
      <c r="F834" s="253"/>
      <c r="G834" s="253"/>
      <c r="H834" s="173"/>
      <c r="I834" s="174"/>
      <c r="J834" s="174"/>
      <c r="K834" s="174"/>
      <c r="L834" s="174"/>
      <c r="M834" s="174"/>
      <c r="N834" s="174"/>
      <c r="O834" s="174"/>
      <c r="P834" s="174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</row>
    <row r="835" ht="12.75" customHeight="1">
      <c r="A835" s="253"/>
      <c r="B835" s="254"/>
      <c r="C835" s="253"/>
      <c r="D835" s="253"/>
      <c r="E835" s="254"/>
      <c r="F835" s="253"/>
      <c r="G835" s="253"/>
      <c r="H835" s="173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</row>
    <row r="836" ht="12.75" customHeight="1">
      <c r="A836" s="253"/>
      <c r="B836" s="254"/>
      <c r="C836" s="253"/>
      <c r="D836" s="253"/>
      <c r="E836" s="254"/>
      <c r="F836" s="253"/>
      <c r="G836" s="253"/>
      <c r="H836" s="173"/>
      <c r="I836" s="174"/>
      <c r="J836" s="174"/>
      <c r="K836" s="174"/>
      <c r="L836" s="174"/>
      <c r="M836" s="174"/>
      <c r="N836" s="174"/>
      <c r="O836" s="174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</row>
    <row r="837" ht="12.75" customHeight="1">
      <c r="A837" s="253"/>
      <c r="B837" s="254"/>
      <c r="C837" s="253"/>
      <c r="D837" s="253"/>
      <c r="E837" s="254"/>
      <c r="F837" s="253"/>
      <c r="G837" s="253"/>
      <c r="H837" s="173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</row>
    <row r="838" ht="12.75" customHeight="1">
      <c r="A838" s="253"/>
      <c r="B838" s="254"/>
      <c r="C838" s="253"/>
      <c r="D838" s="253"/>
      <c r="E838" s="254"/>
      <c r="F838" s="253"/>
      <c r="G838" s="253"/>
      <c r="H838" s="173"/>
      <c r="I838" s="174"/>
      <c r="J838" s="174"/>
      <c r="K838" s="174"/>
      <c r="L838" s="174"/>
      <c r="M838" s="174"/>
      <c r="N838" s="174"/>
      <c r="O838" s="174"/>
      <c r="P838" s="174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</row>
    <row r="839" ht="12.75" customHeight="1">
      <c r="A839" s="253"/>
      <c r="B839" s="254"/>
      <c r="C839" s="253"/>
      <c r="D839" s="253"/>
      <c r="E839" s="254"/>
      <c r="F839" s="253"/>
      <c r="G839" s="253"/>
      <c r="H839" s="173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</row>
    <row r="840" ht="12.75" customHeight="1">
      <c r="A840" s="253"/>
      <c r="B840" s="254"/>
      <c r="C840" s="253"/>
      <c r="D840" s="253"/>
      <c r="E840" s="254"/>
      <c r="F840" s="253"/>
      <c r="G840" s="253"/>
      <c r="H840" s="173"/>
      <c r="I840" s="174"/>
      <c r="J840" s="174"/>
      <c r="K840" s="174"/>
      <c r="L840" s="174"/>
      <c r="M840" s="174"/>
      <c r="N840" s="174"/>
      <c r="O840" s="174"/>
      <c r="P840" s="174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</row>
    <row r="841" ht="12.75" customHeight="1">
      <c r="A841" s="253"/>
      <c r="B841" s="254"/>
      <c r="C841" s="253"/>
      <c r="D841" s="253"/>
      <c r="E841" s="254"/>
      <c r="F841" s="253"/>
      <c r="G841" s="253"/>
      <c r="H841" s="173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</row>
    <row r="842" ht="12.75" customHeight="1">
      <c r="A842" s="253"/>
      <c r="B842" s="254"/>
      <c r="C842" s="253"/>
      <c r="D842" s="253"/>
      <c r="E842" s="254"/>
      <c r="F842" s="253"/>
      <c r="G842" s="253"/>
      <c r="H842" s="173"/>
      <c r="I842" s="174"/>
      <c r="J842" s="174"/>
      <c r="K842" s="174"/>
      <c r="L842" s="174"/>
      <c r="M842" s="174"/>
      <c r="N842" s="174"/>
      <c r="O842" s="174"/>
      <c r="P842" s="174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</row>
    <row r="843" ht="12.75" customHeight="1">
      <c r="A843" s="253"/>
      <c r="B843" s="254"/>
      <c r="C843" s="253"/>
      <c r="D843" s="253"/>
      <c r="E843" s="254"/>
      <c r="F843" s="253"/>
      <c r="G843" s="253"/>
      <c r="H843" s="173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</row>
    <row r="844" ht="12.75" customHeight="1">
      <c r="A844" s="253"/>
      <c r="B844" s="254"/>
      <c r="C844" s="253"/>
      <c r="D844" s="253"/>
      <c r="E844" s="254"/>
      <c r="F844" s="253"/>
      <c r="G844" s="253"/>
      <c r="H844" s="173"/>
      <c r="I844" s="174"/>
      <c r="J844" s="174"/>
      <c r="K844" s="174"/>
      <c r="L844" s="174"/>
      <c r="M844" s="174"/>
      <c r="N844" s="174"/>
      <c r="O844" s="174"/>
      <c r="P844" s="174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</row>
    <row r="845" ht="12.75" customHeight="1">
      <c r="A845" s="253"/>
      <c r="B845" s="254"/>
      <c r="C845" s="253"/>
      <c r="D845" s="253"/>
      <c r="E845" s="254"/>
      <c r="F845" s="253"/>
      <c r="G845" s="253"/>
      <c r="H845" s="173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</row>
    <row r="846" ht="12.75" customHeight="1">
      <c r="A846" s="253"/>
      <c r="B846" s="254"/>
      <c r="C846" s="253"/>
      <c r="D846" s="253"/>
      <c r="E846" s="254"/>
      <c r="F846" s="253"/>
      <c r="G846" s="253"/>
      <c r="H846" s="173"/>
      <c r="I846" s="174"/>
      <c r="J846" s="174"/>
      <c r="K846" s="174"/>
      <c r="L846" s="174"/>
      <c r="M846" s="174"/>
      <c r="N846" s="174"/>
      <c r="O846" s="174"/>
      <c r="P846" s="174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</row>
    <row r="847" ht="12.75" customHeight="1">
      <c r="A847" s="253"/>
      <c r="B847" s="254"/>
      <c r="C847" s="253"/>
      <c r="D847" s="253"/>
      <c r="E847" s="254"/>
      <c r="F847" s="253"/>
      <c r="G847" s="253"/>
      <c r="H847" s="173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</row>
    <row r="848" ht="12.75" customHeight="1">
      <c r="A848" s="253"/>
      <c r="B848" s="254"/>
      <c r="C848" s="253"/>
      <c r="D848" s="253"/>
      <c r="E848" s="254"/>
      <c r="F848" s="253"/>
      <c r="G848" s="253"/>
      <c r="H848" s="173"/>
      <c r="I848" s="174"/>
      <c r="J848" s="174"/>
      <c r="K848" s="174"/>
      <c r="L848" s="174"/>
      <c r="M848" s="174"/>
      <c r="N848" s="174"/>
      <c r="O848" s="174"/>
      <c r="P848" s="174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</row>
    <row r="849" ht="12.75" customHeight="1">
      <c r="A849" s="253"/>
      <c r="B849" s="254"/>
      <c r="C849" s="253"/>
      <c r="D849" s="253"/>
      <c r="E849" s="254"/>
      <c r="F849" s="253"/>
      <c r="G849" s="253"/>
      <c r="H849" s="173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</row>
    <row r="850" ht="12.75" customHeight="1">
      <c r="A850" s="253"/>
      <c r="B850" s="254"/>
      <c r="C850" s="253"/>
      <c r="D850" s="253"/>
      <c r="E850" s="254"/>
      <c r="F850" s="253"/>
      <c r="G850" s="253"/>
      <c r="H850" s="173"/>
      <c r="I850" s="174"/>
      <c r="J850" s="174"/>
      <c r="K850" s="174"/>
      <c r="L850" s="174"/>
      <c r="M850" s="174"/>
      <c r="N850" s="174"/>
      <c r="O850" s="174"/>
      <c r="P850" s="174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</row>
    <row r="851" ht="12.75" customHeight="1">
      <c r="A851" s="253"/>
      <c r="B851" s="254"/>
      <c r="C851" s="253"/>
      <c r="D851" s="253"/>
      <c r="E851" s="254"/>
      <c r="F851" s="253"/>
      <c r="G851" s="253"/>
      <c r="H851" s="173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</row>
    <row r="852" ht="12.75" customHeight="1">
      <c r="A852" s="253"/>
      <c r="B852" s="254"/>
      <c r="C852" s="253"/>
      <c r="D852" s="253"/>
      <c r="E852" s="254"/>
      <c r="F852" s="253"/>
      <c r="G852" s="253"/>
      <c r="H852" s="173"/>
      <c r="I852" s="174"/>
      <c r="J852" s="174"/>
      <c r="K852" s="174"/>
      <c r="L852" s="174"/>
      <c r="M852" s="174"/>
      <c r="N852" s="174"/>
      <c r="O852" s="174"/>
      <c r="P852" s="174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</row>
    <row r="853" ht="12.75" customHeight="1">
      <c r="A853" s="253"/>
      <c r="B853" s="254"/>
      <c r="C853" s="253"/>
      <c r="D853" s="253"/>
      <c r="E853" s="254"/>
      <c r="F853" s="253"/>
      <c r="G853" s="253"/>
      <c r="H853" s="173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</row>
    <row r="854" ht="12.75" customHeight="1">
      <c r="A854" s="253"/>
      <c r="B854" s="254"/>
      <c r="C854" s="253"/>
      <c r="D854" s="253"/>
      <c r="E854" s="254"/>
      <c r="F854" s="253"/>
      <c r="G854" s="253"/>
      <c r="H854" s="173"/>
      <c r="I854" s="174"/>
      <c r="J854" s="174"/>
      <c r="K854" s="174"/>
      <c r="L854" s="174"/>
      <c r="M854" s="174"/>
      <c r="N854" s="174"/>
      <c r="O854" s="174"/>
      <c r="P854" s="174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</row>
    <row r="855" ht="12.75" customHeight="1">
      <c r="A855" s="253"/>
      <c r="B855" s="254"/>
      <c r="C855" s="253"/>
      <c r="D855" s="253"/>
      <c r="E855" s="254"/>
      <c r="F855" s="253"/>
      <c r="G855" s="253"/>
      <c r="H855" s="173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</row>
    <row r="856" ht="12.75" customHeight="1">
      <c r="A856" s="253"/>
      <c r="B856" s="254"/>
      <c r="C856" s="253"/>
      <c r="D856" s="253"/>
      <c r="E856" s="254"/>
      <c r="F856" s="253"/>
      <c r="G856" s="253"/>
      <c r="H856" s="173"/>
      <c r="I856" s="174"/>
      <c r="J856" s="174"/>
      <c r="K856" s="174"/>
      <c r="L856" s="174"/>
      <c r="M856" s="174"/>
      <c r="N856" s="174"/>
      <c r="O856" s="174"/>
      <c r="P856" s="174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</row>
    <row r="857" ht="12.75" customHeight="1">
      <c r="A857" s="253"/>
      <c r="B857" s="254"/>
      <c r="C857" s="253"/>
      <c r="D857" s="253"/>
      <c r="E857" s="254"/>
      <c r="F857" s="253"/>
      <c r="G857" s="253"/>
      <c r="H857" s="173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</row>
    <row r="858" ht="12.75" customHeight="1">
      <c r="A858" s="253"/>
      <c r="B858" s="254"/>
      <c r="C858" s="253"/>
      <c r="D858" s="253"/>
      <c r="E858" s="254"/>
      <c r="F858" s="253"/>
      <c r="G858" s="253"/>
      <c r="H858" s="173"/>
      <c r="I858" s="174"/>
      <c r="J858" s="174"/>
      <c r="K858" s="174"/>
      <c r="L858" s="174"/>
      <c r="M858" s="174"/>
      <c r="N858" s="174"/>
      <c r="O858" s="174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</row>
    <row r="859" ht="12.75" customHeight="1">
      <c r="A859" s="253"/>
      <c r="B859" s="254"/>
      <c r="C859" s="253"/>
      <c r="D859" s="253"/>
      <c r="E859" s="254"/>
      <c r="F859" s="253"/>
      <c r="G859" s="253"/>
      <c r="H859" s="173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</row>
    <row r="860" ht="12.75" customHeight="1">
      <c r="A860" s="253"/>
      <c r="B860" s="254"/>
      <c r="C860" s="253"/>
      <c r="D860" s="253"/>
      <c r="E860" s="254"/>
      <c r="F860" s="253"/>
      <c r="G860" s="253"/>
      <c r="H860" s="173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</row>
    <row r="861" ht="12.75" customHeight="1">
      <c r="A861" s="253"/>
      <c r="B861" s="254"/>
      <c r="C861" s="253"/>
      <c r="D861" s="253"/>
      <c r="E861" s="254"/>
      <c r="F861" s="253"/>
      <c r="G861" s="253"/>
      <c r="H861" s="173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</row>
    <row r="862" ht="12.75" customHeight="1">
      <c r="A862" s="253"/>
      <c r="B862" s="254"/>
      <c r="C862" s="253"/>
      <c r="D862" s="253"/>
      <c r="E862" s="254"/>
      <c r="F862" s="253"/>
      <c r="G862" s="253"/>
      <c r="H862" s="173"/>
      <c r="I862" s="174"/>
      <c r="J862" s="174"/>
      <c r="K862" s="174"/>
      <c r="L862" s="174"/>
      <c r="M862" s="174"/>
      <c r="N862" s="174"/>
      <c r="O862" s="174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</row>
    <row r="863" ht="12.75" customHeight="1">
      <c r="A863" s="253"/>
      <c r="B863" s="254"/>
      <c r="C863" s="253"/>
      <c r="D863" s="253"/>
      <c r="E863" s="254"/>
      <c r="F863" s="253"/>
      <c r="G863" s="253"/>
      <c r="H863" s="173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</row>
    <row r="864" ht="12.75" customHeight="1">
      <c r="A864" s="253"/>
      <c r="B864" s="254"/>
      <c r="C864" s="253"/>
      <c r="D864" s="253"/>
      <c r="E864" s="254"/>
      <c r="F864" s="253"/>
      <c r="G864" s="253"/>
      <c r="H864" s="173"/>
      <c r="I864" s="174"/>
      <c r="J864" s="174"/>
      <c r="K864" s="174"/>
      <c r="L864" s="174"/>
      <c r="M864" s="174"/>
      <c r="N864" s="174"/>
      <c r="O864" s="174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</row>
    <row r="865" ht="12.75" customHeight="1">
      <c r="A865" s="253"/>
      <c r="B865" s="254"/>
      <c r="C865" s="253"/>
      <c r="D865" s="253"/>
      <c r="E865" s="254"/>
      <c r="F865" s="253"/>
      <c r="G865" s="253"/>
      <c r="H865" s="173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</row>
    <row r="866" ht="12.75" customHeight="1">
      <c r="A866" s="253"/>
      <c r="B866" s="254"/>
      <c r="C866" s="253"/>
      <c r="D866" s="253"/>
      <c r="E866" s="254"/>
      <c r="F866" s="253"/>
      <c r="G866" s="253"/>
      <c r="H866" s="173"/>
      <c r="I866" s="174"/>
      <c r="J866" s="174"/>
      <c r="K866" s="174"/>
      <c r="L866" s="174"/>
      <c r="M866" s="174"/>
      <c r="N866" s="174"/>
      <c r="O866" s="174"/>
      <c r="P866" s="174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</row>
    <row r="867" ht="12.75" customHeight="1">
      <c r="A867" s="253"/>
      <c r="B867" s="254"/>
      <c r="C867" s="253"/>
      <c r="D867" s="253"/>
      <c r="E867" s="254"/>
      <c r="F867" s="253"/>
      <c r="G867" s="253"/>
      <c r="H867" s="173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</row>
    <row r="868" ht="12.75" customHeight="1">
      <c r="A868" s="253"/>
      <c r="B868" s="254"/>
      <c r="C868" s="253"/>
      <c r="D868" s="253"/>
      <c r="E868" s="254"/>
      <c r="F868" s="253"/>
      <c r="G868" s="253"/>
      <c r="H868" s="173"/>
      <c r="I868" s="174"/>
      <c r="J868" s="174"/>
      <c r="K868" s="174"/>
      <c r="L868" s="174"/>
      <c r="M868" s="174"/>
      <c r="N868" s="174"/>
      <c r="O868" s="174"/>
      <c r="P868" s="174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</row>
    <row r="869" ht="12.75" customHeight="1">
      <c r="A869" s="253"/>
      <c r="B869" s="254"/>
      <c r="C869" s="253"/>
      <c r="D869" s="253"/>
      <c r="E869" s="254"/>
      <c r="F869" s="253"/>
      <c r="G869" s="253"/>
      <c r="H869" s="173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</row>
    <row r="870" ht="12.75" customHeight="1">
      <c r="A870" s="253"/>
      <c r="B870" s="254"/>
      <c r="C870" s="253"/>
      <c r="D870" s="253"/>
      <c r="E870" s="254"/>
      <c r="F870" s="253"/>
      <c r="G870" s="253"/>
      <c r="H870" s="173"/>
      <c r="I870" s="174"/>
      <c r="J870" s="174"/>
      <c r="K870" s="174"/>
      <c r="L870" s="174"/>
      <c r="M870" s="174"/>
      <c r="N870" s="174"/>
      <c r="O870" s="174"/>
      <c r="P870" s="174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</row>
    <row r="871" ht="12.75" customHeight="1">
      <c r="A871" s="253"/>
      <c r="B871" s="254"/>
      <c r="C871" s="253"/>
      <c r="D871" s="253"/>
      <c r="E871" s="254"/>
      <c r="F871" s="253"/>
      <c r="G871" s="253"/>
      <c r="H871" s="173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</row>
    <row r="872" ht="12.75" customHeight="1">
      <c r="A872" s="253"/>
      <c r="B872" s="254"/>
      <c r="C872" s="253"/>
      <c r="D872" s="253"/>
      <c r="E872" s="254"/>
      <c r="F872" s="253"/>
      <c r="G872" s="253"/>
      <c r="H872" s="173"/>
      <c r="I872" s="174"/>
      <c r="J872" s="174"/>
      <c r="K872" s="174"/>
      <c r="L872" s="174"/>
      <c r="M872" s="174"/>
      <c r="N872" s="174"/>
      <c r="O872" s="174"/>
      <c r="P872" s="174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</row>
    <row r="873" ht="12.75" customHeight="1">
      <c r="A873" s="253"/>
      <c r="B873" s="254"/>
      <c r="C873" s="253"/>
      <c r="D873" s="253"/>
      <c r="E873" s="254"/>
      <c r="F873" s="253"/>
      <c r="G873" s="253"/>
      <c r="H873" s="173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</row>
    <row r="874" ht="12.75" customHeight="1">
      <c r="A874" s="253"/>
      <c r="B874" s="254"/>
      <c r="C874" s="253"/>
      <c r="D874" s="253"/>
      <c r="E874" s="254"/>
      <c r="F874" s="253"/>
      <c r="G874" s="253"/>
      <c r="H874" s="173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</row>
    <row r="875" ht="12.75" customHeight="1">
      <c r="A875" s="253"/>
      <c r="B875" s="254"/>
      <c r="C875" s="253"/>
      <c r="D875" s="253"/>
      <c r="E875" s="254"/>
      <c r="F875" s="253"/>
      <c r="G875" s="253"/>
      <c r="H875" s="173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</row>
    <row r="876" ht="12.75" customHeight="1">
      <c r="A876" s="253"/>
      <c r="B876" s="254"/>
      <c r="C876" s="253"/>
      <c r="D876" s="253"/>
      <c r="E876" s="254"/>
      <c r="F876" s="253"/>
      <c r="G876" s="253"/>
      <c r="H876" s="173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</row>
    <row r="877" ht="12.75" customHeight="1">
      <c r="A877" s="253"/>
      <c r="B877" s="254"/>
      <c r="C877" s="253"/>
      <c r="D877" s="253"/>
      <c r="E877" s="254"/>
      <c r="F877" s="253"/>
      <c r="G877" s="253"/>
      <c r="H877" s="173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</row>
    <row r="878" ht="12.75" customHeight="1">
      <c r="A878" s="253"/>
      <c r="B878" s="254"/>
      <c r="C878" s="253"/>
      <c r="D878" s="253"/>
      <c r="E878" s="254"/>
      <c r="F878" s="253"/>
      <c r="G878" s="253"/>
      <c r="H878" s="173"/>
      <c r="I878" s="174"/>
      <c r="J878" s="174"/>
      <c r="K878" s="174"/>
      <c r="L878" s="174"/>
      <c r="M878" s="174"/>
      <c r="N878" s="174"/>
      <c r="O878" s="174"/>
      <c r="P878" s="174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</row>
    <row r="879" ht="12.75" customHeight="1">
      <c r="A879" s="253"/>
      <c r="B879" s="254"/>
      <c r="C879" s="253"/>
      <c r="D879" s="253"/>
      <c r="E879" s="254"/>
      <c r="F879" s="253"/>
      <c r="G879" s="253"/>
      <c r="H879" s="173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</row>
    <row r="880" ht="12.75" customHeight="1">
      <c r="A880" s="253"/>
      <c r="B880" s="254"/>
      <c r="C880" s="253"/>
      <c r="D880" s="253"/>
      <c r="E880" s="254"/>
      <c r="F880" s="253"/>
      <c r="G880" s="253"/>
      <c r="H880" s="173"/>
      <c r="I880" s="174"/>
      <c r="J880" s="174"/>
      <c r="K880" s="174"/>
      <c r="L880" s="174"/>
      <c r="M880" s="174"/>
      <c r="N880" s="174"/>
      <c r="O880" s="174"/>
      <c r="P880" s="174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</row>
    <row r="881" ht="12.75" customHeight="1">
      <c r="A881" s="253"/>
      <c r="B881" s="254"/>
      <c r="C881" s="253"/>
      <c r="D881" s="253"/>
      <c r="E881" s="254"/>
      <c r="F881" s="253"/>
      <c r="G881" s="253"/>
      <c r="H881" s="173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</row>
    <row r="882" ht="12.75" customHeight="1">
      <c r="A882" s="253"/>
      <c r="B882" s="254"/>
      <c r="C882" s="253"/>
      <c r="D882" s="253"/>
      <c r="E882" s="254"/>
      <c r="F882" s="253"/>
      <c r="G882" s="253"/>
      <c r="H882" s="173"/>
      <c r="I882" s="174"/>
      <c r="J882" s="174"/>
      <c r="K882" s="174"/>
      <c r="L882" s="174"/>
      <c r="M882" s="174"/>
      <c r="N882" s="174"/>
      <c r="O882" s="174"/>
      <c r="P882" s="174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</row>
    <row r="883" ht="12.75" customHeight="1">
      <c r="A883" s="253"/>
      <c r="B883" s="254"/>
      <c r="C883" s="253"/>
      <c r="D883" s="253"/>
      <c r="E883" s="254"/>
      <c r="F883" s="253"/>
      <c r="G883" s="253"/>
      <c r="H883" s="173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</row>
    <row r="884" ht="12.75" customHeight="1">
      <c r="A884" s="253"/>
      <c r="B884" s="254"/>
      <c r="C884" s="253"/>
      <c r="D884" s="253"/>
      <c r="E884" s="254"/>
      <c r="F884" s="253"/>
      <c r="G884" s="253"/>
      <c r="H884" s="173"/>
      <c r="I884" s="174"/>
      <c r="J884" s="174"/>
      <c r="K884" s="174"/>
      <c r="L884" s="174"/>
      <c r="M884" s="174"/>
      <c r="N884" s="174"/>
      <c r="O884" s="174"/>
      <c r="P884" s="174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</row>
    <row r="885" ht="12.75" customHeight="1">
      <c r="A885" s="253"/>
      <c r="B885" s="254"/>
      <c r="C885" s="253"/>
      <c r="D885" s="253"/>
      <c r="E885" s="254"/>
      <c r="F885" s="253"/>
      <c r="G885" s="253"/>
      <c r="H885" s="173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</row>
    <row r="886" ht="12.75" customHeight="1">
      <c r="A886" s="253"/>
      <c r="B886" s="254"/>
      <c r="C886" s="253"/>
      <c r="D886" s="253"/>
      <c r="E886" s="254"/>
      <c r="F886" s="253"/>
      <c r="G886" s="253"/>
      <c r="H886" s="173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</row>
    <row r="887" ht="12.75" customHeight="1">
      <c r="A887" s="253"/>
      <c r="B887" s="254"/>
      <c r="C887" s="253"/>
      <c r="D887" s="253"/>
      <c r="E887" s="254"/>
      <c r="F887" s="253"/>
      <c r="G887" s="253"/>
      <c r="H887" s="173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</row>
    <row r="888" ht="12.75" customHeight="1">
      <c r="A888" s="253"/>
      <c r="B888" s="254"/>
      <c r="C888" s="253"/>
      <c r="D888" s="253"/>
      <c r="E888" s="254"/>
      <c r="F888" s="253"/>
      <c r="G888" s="253"/>
      <c r="H888" s="173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</row>
    <row r="889" ht="12.75" customHeight="1">
      <c r="A889" s="253"/>
      <c r="B889" s="254"/>
      <c r="C889" s="253"/>
      <c r="D889" s="253"/>
      <c r="E889" s="254"/>
      <c r="F889" s="253"/>
      <c r="G889" s="253"/>
      <c r="H889" s="173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</row>
    <row r="890" ht="12.75" customHeight="1">
      <c r="A890" s="253"/>
      <c r="B890" s="254"/>
      <c r="C890" s="253"/>
      <c r="D890" s="253"/>
      <c r="E890" s="254"/>
      <c r="F890" s="253"/>
      <c r="G890" s="253"/>
      <c r="H890" s="173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</row>
    <row r="891" ht="12.75" customHeight="1">
      <c r="A891" s="253"/>
      <c r="B891" s="254"/>
      <c r="C891" s="253"/>
      <c r="D891" s="253"/>
      <c r="E891" s="254"/>
      <c r="F891" s="253"/>
      <c r="G891" s="253"/>
      <c r="H891" s="173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</row>
    <row r="892" ht="12.75" customHeight="1">
      <c r="A892" s="253"/>
      <c r="B892" s="254"/>
      <c r="C892" s="253"/>
      <c r="D892" s="253"/>
      <c r="E892" s="254"/>
      <c r="F892" s="253"/>
      <c r="G892" s="253"/>
      <c r="H892" s="173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</row>
    <row r="893" ht="12.75" customHeight="1">
      <c r="A893" s="253"/>
      <c r="B893" s="254"/>
      <c r="C893" s="253"/>
      <c r="D893" s="253"/>
      <c r="E893" s="254"/>
      <c r="F893" s="253"/>
      <c r="G893" s="253"/>
      <c r="H893" s="173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</row>
    <row r="894" ht="12.75" customHeight="1">
      <c r="A894" s="253"/>
      <c r="B894" s="254"/>
      <c r="C894" s="253"/>
      <c r="D894" s="253"/>
      <c r="E894" s="254"/>
      <c r="F894" s="253"/>
      <c r="G894" s="253"/>
      <c r="H894" s="173"/>
      <c r="I894" s="174"/>
      <c r="J894" s="174"/>
      <c r="K894" s="174"/>
      <c r="L894" s="174"/>
      <c r="M894" s="174"/>
      <c r="N894" s="174"/>
      <c r="O894" s="174"/>
      <c r="P894" s="174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</row>
    <row r="895" ht="12.75" customHeight="1">
      <c r="A895" s="253"/>
      <c r="B895" s="254"/>
      <c r="C895" s="253"/>
      <c r="D895" s="253"/>
      <c r="E895" s="254"/>
      <c r="F895" s="253"/>
      <c r="G895" s="253"/>
      <c r="H895" s="173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</row>
    <row r="896" ht="12.75" customHeight="1">
      <c r="A896" s="253"/>
      <c r="B896" s="254"/>
      <c r="C896" s="253"/>
      <c r="D896" s="253"/>
      <c r="E896" s="254"/>
      <c r="F896" s="253"/>
      <c r="G896" s="253"/>
      <c r="H896" s="173"/>
      <c r="I896" s="174"/>
      <c r="J896" s="174"/>
      <c r="K896" s="174"/>
      <c r="L896" s="174"/>
      <c r="M896" s="174"/>
      <c r="N896" s="174"/>
      <c r="O896" s="174"/>
      <c r="P896" s="174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</row>
    <row r="897" ht="12.75" customHeight="1">
      <c r="A897" s="253"/>
      <c r="B897" s="254"/>
      <c r="C897" s="253"/>
      <c r="D897" s="253"/>
      <c r="E897" s="254"/>
      <c r="F897" s="253"/>
      <c r="G897" s="253"/>
      <c r="H897" s="173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</row>
    <row r="898" ht="12.75" customHeight="1">
      <c r="A898" s="253"/>
      <c r="B898" s="254"/>
      <c r="C898" s="253"/>
      <c r="D898" s="253"/>
      <c r="E898" s="254"/>
      <c r="F898" s="253"/>
      <c r="G898" s="253"/>
      <c r="H898" s="173"/>
      <c r="I898" s="174"/>
      <c r="J898" s="174"/>
      <c r="K898" s="174"/>
      <c r="L898" s="174"/>
      <c r="M898" s="174"/>
      <c r="N898" s="174"/>
      <c r="O898" s="174"/>
      <c r="P898" s="174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</row>
    <row r="899" ht="12.75" customHeight="1">
      <c r="A899" s="253"/>
      <c r="B899" s="254"/>
      <c r="C899" s="253"/>
      <c r="D899" s="253"/>
      <c r="E899" s="254"/>
      <c r="F899" s="253"/>
      <c r="G899" s="253"/>
      <c r="H899" s="173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</row>
    <row r="900" ht="12.75" customHeight="1">
      <c r="A900" s="253"/>
      <c r="B900" s="254"/>
      <c r="C900" s="253"/>
      <c r="D900" s="253"/>
      <c r="E900" s="254"/>
      <c r="F900" s="253"/>
      <c r="G900" s="253"/>
      <c r="H900" s="173"/>
      <c r="I900" s="174"/>
      <c r="J900" s="174"/>
      <c r="K900" s="174"/>
      <c r="L900" s="174"/>
      <c r="M900" s="174"/>
      <c r="N900" s="174"/>
      <c r="O900" s="174"/>
      <c r="P900" s="174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</row>
    <row r="901" ht="12.75" customHeight="1">
      <c r="A901" s="253"/>
      <c r="B901" s="254"/>
      <c r="C901" s="253"/>
      <c r="D901" s="253"/>
      <c r="E901" s="254"/>
      <c r="F901" s="253"/>
      <c r="G901" s="253"/>
      <c r="H901" s="173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</row>
    <row r="902" ht="12.75" customHeight="1">
      <c r="A902" s="253"/>
      <c r="B902" s="254"/>
      <c r="C902" s="253"/>
      <c r="D902" s="253"/>
      <c r="E902" s="254"/>
      <c r="F902" s="253"/>
      <c r="G902" s="253"/>
      <c r="H902" s="173"/>
      <c r="I902" s="174"/>
      <c r="J902" s="174"/>
      <c r="K902" s="174"/>
      <c r="L902" s="174"/>
      <c r="M902" s="174"/>
      <c r="N902" s="174"/>
      <c r="O902" s="174"/>
      <c r="P902" s="174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</row>
    <row r="903" ht="12.75" customHeight="1">
      <c r="A903" s="253"/>
      <c r="B903" s="254"/>
      <c r="C903" s="253"/>
      <c r="D903" s="253"/>
      <c r="E903" s="254"/>
      <c r="F903" s="253"/>
      <c r="G903" s="253"/>
      <c r="H903" s="173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</row>
    <row r="904" ht="12.75" customHeight="1">
      <c r="A904" s="253"/>
      <c r="B904" s="254"/>
      <c r="C904" s="253"/>
      <c r="D904" s="253"/>
      <c r="E904" s="254"/>
      <c r="F904" s="253"/>
      <c r="G904" s="253"/>
      <c r="H904" s="173"/>
      <c r="I904" s="174"/>
      <c r="J904" s="174"/>
      <c r="K904" s="174"/>
      <c r="L904" s="174"/>
      <c r="M904" s="174"/>
      <c r="N904" s="174"/>
      <c r="O904" s="174"/>
      <c r="P904" s="174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</row>
    <row r="905" ht="12.75" customHeight="1">
      <c r="A905" s="253"/>
      <c r="B905" s="254"/>
      <c r="C905" s="253"/>
      <c r="D905" s="253"/>
      <c r="E905" s="254"/>
      <c r="F905" s="253"/>
      <c r="G905" s="253"/>
      <c r="H905" s="173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</row>
    <row r="906" ht="12.75" customHeight="1">
      <c r="A906" s="253"/>
      <c r="B906" s="254"/>
      <c r="C906" s="253"/>
      <c r="D906" s="253"/>
      <c r="E906" s="254"/>
      <c r="F906" s="253"/>
      <c r="G906" s="253"/>
      <c r="H906" s="173"/>
      <c r="I906" s="174"/>
      <c r="J906" s="174"/>
      <c r="K906" s="174"/>
      <c r="L906" s="174"/>
      <c r="M906" s="174"/>
      <c r="N906" s="174"/>
      <c r="O906" s="174"/>
      <c r="P906" s="174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</row>
    <row r="907" ht="12.75" customHeight="1">
      <c r="A907" s="253"/>
      <c r="B907" s="254"/>
      <c r="C907" s="253"/>
      <c r="D907" s="253"/>
      <c r="E907" s="254"/>
      <c r="F907" s="253"/>
      <c r="G907" s="253"/>
      <c r="H907" s="173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</row>
    <row r="908" ht="12.75" customHeight="1">
      <c r="A908" s="253"/>
      <c r="B908" s="254"/>
      <c r="C908" s="253"/>
      <c r="D908" s="253"/>
      <c r="E908" s="254"/>
      <c r="F908" s="253"/>
      <c r="G908" s="253"/>
      <c r="H908" s="173"/>
      <c r="I908" s="174"/>
      <c r="J908" s="174"/>
      <c r="K908" s="174"/>
      <c r="L908" s="174"/>
      <c r="M908" s="174"/>
      <c r="N908" s="174"/>
      <c r="O908" s="174"/>
      <c r="P908" s="174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</row>
    <row r="909" ht="12.75" customHeight="1">
      <c r="A909" s="253"/>
      <c r="B909" s="254"/>
      <c r="C909" s="253"/>
      <c r="D909" s="253"/>
      <c r="E909" s="254"/>
      <c r="F909" s="253"/>
      <c r="G909" s="253"/>
      <c r="H909" s="173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</row>
    <row r="910" ht="12.75" customHeight="1">
      <c r="A910" s="253"/>
      <c r="B910" s="254"/>
      <c r="C910" s="253"/>
      <c r="D910" s="253"/>
      <c r="E910" s="254"/>
      <c r="F910" s="253"/>
      <c r="G910" s="253"/>
      <c r="H910" s="173"/>
      <c r="I910" s="174"/>
      <c r="J910" s="174"/>
      <c r="K910" s="174"/>
      <c r="L910" s="174"/>
      <c r="M910" s="174"/>
      <c r="N910" s="174"/>
      <c r="O910" s="174"/>
      <c r="P910" s="174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</row>
    <row r="911" ht="12.75" customHeight="1">
      <c r="A911" s="253"/>
      <c r="B911" s="254"/>
      <c r="C911" s="253"/>
      <c r="D911" s="253"/>
      <c r="E911" s="254"/>
      <c r="F911" s="253"/>
      <c r="G911" s="253"/>
      <c r="H911" s="173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</row>
    <row r="912" ht="12.75" customHeight="1">
      <c r="A912" s="253"/>
      <c r="B912" s="254"/>
      <c r="C912" s="253"/>
      <c r="D912" s="253"/>
      <c r="E912" s="254"/>
      <c r="F912" s="253"/>
      <c r="G912" s="253"/>
      <c r="H912" s="173"/>
      <c r="I912" s="174"/>
      <c r="J912" s="174"/>
      <c r="K912" s="174"/>
      <c r="L912" s="174"/>
      <c r="M912" s="174"/>
      <c r="N912" s="174"/>
      <c r="O912" s="174"/>
      <c r="P912" s="174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</row>
    <row r="913" ht="12.75" customHeight="1">
      <c r="A913" s="253"/>
      <c r="B913" s="254"/>
      <c r="C913" s="253"/>
      <c r="D913" s="253"/>
      <c r="E913" s="254"/>
      <c r="F913" s="253"/>
      <c r="G913" s="253"/>
      <c r="H913" s="173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</row>
    <row r="914" ht="12.75" customHeight="1">
      <c r="A914" s="253"/>
      <c r="B914" s="254"/>
      <c r="C914" s="253"/>
      <c r="D914" s="253"/>
      <c r="E914" s="254"/>
      <c r="F914" s="253"/>
      <c r="G914" s="253"/>
      <c r="H914" s="173"/>
      <c r="I914" s="174"/>
      <c r="J914" s="174"/>
      <c r="K914" s="174"/>
      <c r="L914" s="174"/>
      <c r="M914" s="174"/>
      <c r="N914" s="174"/>
      <c r="O914" s="174"/>
      <c r="P914" s="174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</row>
    <row r="915" ht="12.75" customHeight="1">
      <c r="A915" s="253"/>
      <c r="B915" s="254"/>
      <c r="C915" s="253"/>
      <c r="D915" s="253"/>
      <c r="E915" s="254"/>
      <c r="F915" s="253"/>
      <c r="G915" s="253"/>
      <c r="H915" s="173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</row>
    <row r="916" ht="12.75" customHeight="1">
      <c r="A916" s="253"/>
      <c r="B916" s="254"/>
      <c r="C916" s="253"/>
      <c r="D916" s="253"/>
      <c r="E916" s="254"/>
      <c r="F916" s="253"/>
      <c r="G916" s="253"/>
      <c r="H916" s="173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</row>
    <row r="917" ht="12.75" customHeight="1">
      <c r="A917" s="253"/>
      <c r="B917" s="254"/>
      <c r="C917" s="253"/>
      <c r="D917" s="253"/>
      <c r="E917" s="254"/>
      <c r="F917" s="253"/>
      <c r="G917" s="253"/>
      <c r="H917" s="173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</row>
    <row r="918" ht="12.75" customHeight="1">
      <c r="A918" s="253"/>
      <c r="B918" s="254"/>
      <c r="C918" s="253"/>
      <c r="D918" s="253"/>
      <c r="E918" s="254"/>
      <c r="F918" s="253"/>
      <c r="G918" s="253"/>
      <c r="H918" s="173"/>
      <c r="I918" s="174"/>
      <c r="J918" s="174"/>
      <c r="K918" s="174"/>
      <c r="L918" s="174"/>
      <c r="M918" s="174"/>
      <c r="N918" s="174"/>
      <c r="O918" s="174"/>
      <c r="P918" s="174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</row>
    <row r="919" ht="12.75" customHeight="1">
      <c r="A919" s="253"/>
      <c r="B919" s="254"/>
      <c r="C919" s="253"/>
      <c r="D919" s="253"/>
      <c r="E919" s="254"/>
      <c r="F919" s="253"/>
      <c r="G919" s="253"/>
      <c r="H919" s="173"/>
      <c r="I919" s="174"/>
      <c r="J919" s="174"/>
      <c r="K919" s="174"/>
      <c r="L919" s="174"/>
      <c r="M919" s="174"/>
      <c r="N919" s="174"/>
      <c r="O919" s="174"/>
      <c r="P919" s="174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</row>
    <row r="920" ht="12.75" customHeight="1">
      <c r="A920" s="253"/>
      <c r="B920" s="254"/>
      <c r="C920" s="253"/>
      <c r="D920" s="253"/>
      <c r="E920" s="254"/>
      <c r="F920" s="253"/>
      <c r="G920" s="253"/>
      <c r="H920" s="173"/>
      <c r="I920" s="174"/>
      <c r="J920" s="174"/>
      <c r="K920" s="174"/>
      <c r="L920" s="174"/>
      <c r="M920" s="174"/>
      <c r="N920" s="174"/>
      <c r="O920" s="174"/>
      <c r="P920" s="174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</row>
    <row r="921" ht="12.75" customHeight="1">
      <c r="A921" s="253"/>
      <c r="B921" s="254"/>
      <c r="C921" s="253"/>
      <c r="D921" s="253"/>
      <c r="E921" s="254"/>
      <c r="F921" s="253"/>
      <c r="G921" s="253"/>
      <c r="H921" s="173"/>
      <c r="I921" s="174"/>
      <c r="J921" s="174"/>
      <c r="K921" s="174"/>
      <c r="L921" s="174"/>
      <c r="M921" s="174"/>
      <c r="N921" s="174"/>
      <c r="O921" s="174"/>
      <c r="P921" s="174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</row>
    <row r="922" ht="12.75" customHeight="1">
      <c r="A922" s="253"/>
      <c r="B922" s="254"/>
      <c r="C922" s="253"/>
      <c r="D922" s="253"/>
      <c r="E922" s="254"/>
      <c r="F922" s="253"/>
      <c r="G922" s="253"/>
      <c r="H922" s="173"/>
      <c r="I922" s="174"/>
      <c r="J922" s="174"/>
      <c r="K922" s="174"/>
      <c r="L922" s="174"/>
      <c r="M922" s="174"/>
      <c r="N922" s="174"/>
      <c r="O922" s="174"/>
      <c r="P922" s="174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</row>
    <row r="923" ht="12.75" customHeight="1">
      <c r="A923" s="253"/>
      <c r="B923" s="254"/>
      <c r="C923" s="253"/>
      <c r="D923" s="253"/>
      <c r="E923" s="254"/>
      <c r="F923" s="253"/>
      <c r="G923" s="253"/>
      <c r="H923" s="173"/>
      <c r="I923" s="174"/>
      <c r="J923" s="174"/>
      <c r="K923" s="174"/>
      <c r="L923" s="174"/>
      <c r="M923" s="174"/>
      <c r="N923" s="174"/>
      <c r="O923" s="174"/>
      <c r="P923" s="174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</row>
    <row r="924" ht="12.75" customHeight="1">
      <c r="A924" s="253"/>
      <c r="B924" s="254"/>
      <c r="C924" s="253"/>
      <c r="D924" s="253"/>
      <c r="E924" s="254"/>
      <c r="F924" s="253"/>
      <c r="G924" s="253"/>
      <c r="H924" s="173"/>
      <c r="I924" s="174"/>
      <c r="J924" s="174"/>
      <c r="K924" s="174"/>
      <c r="L924" s="174"/>
      <c r="M924" s="174"/>
      <c r="N924" s="174"/>
      <c r="O924" s="174"/>
      <c r="P924" s="174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</row>
    <row r="925" ht="12.75" customHeight="1">
      <c r="A925" s="253"/>
      <c r="B925" s="254"/>
      <c r="C925" s="253"/>
      <c r="D925" s="253"/>
      <c r="E925" s="254"/>
      <c r="F925" s="253"/>
      <c r="G925" s="253"/>
      <c r="H925" s="173"/>
      <c r="I925" s="174"/>
      <c r="J925" s="174"/>
      <c r="K925" s="174"/>
      <c r="L925" s="174"/>
      <c r="M925" s="174"/>
      <c r="N925" s="174"/>
      <c r="O925" s="174"/>
      <c r="P925" s="174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</row>
    <row r="926" ht="12.75" customHeight="1">
      <c r="A926" s="253"/>
      <c r="B926" s="254"/>
      <c r="C926" s="253"/>
      <c r="D926" s="253"/>
      <c r="E926" s="254"/>
      <c r="F926" s="253"/>
      <c r="G926" s="253"/>
      <c r="H926" s="173"/>
      <c r="I926" s="174"/>
      <c r="J926" s="174"/>
      <c r="K926" s="174"/>
      <c r="L926" s="174"/>
      <c r="M926" s="174"/>
      <c r="N926" s="174"/>
      <c r="O926" s="174"/>
      <c r="P926" s="174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</row>
    <row r="927" ht="12.75" customHeight="1">
      <c r="A927" s="253"/>
      <c r="B927" s="254"/>
      <c r="C927" s="253"/>
      <c r="D927" s="253"/>
      <c r="E927" s="254"/>
      <c r="F927" s="253"/>
      <c r="G927" s="253"/>
      <c r="H927" s="173"/>
      <c r="I927" s="174"/>
      <c r="J927" s="174"/>
      <c r="K927" s="174"/>
      <c r="L927" s="174"/>
      <c r="M927" s="174"/>
      <c r="N927" s="174"/>
      <c r="O927" s="174"/>
      <c r="P927" s="174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</row>
    <row r="928" ht="12.75" customHeight="1">
      <c r="A928" s="253"/>
      <c r="B928" s="254"/>
      <c r="C928" s="253"/>
      <c r="D928" s="253"/>
      <c r="E928" s="254"/>
      <c r="F928" s="253"/>
      <c r="G928" s="253"/>
      <c r="H928" s="173"/>
      <c r="I928" s="174"/>
      <c r="J928" s="174"/>
      <c r="K928" s="174"/>
      <c r="L928" s="174"/>
      <c r="M928" s="174"/>
      <c r="N928" s="174"/>
      <c r="O928" s="174"/>
      <c r="P928" s="174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</row>
    <row r="929" ht="12.75" customHeight="1">
      <c r="A929" s="253"/>
      <c r="B929" s="254"/>
      <c r="C929" s="253"/>
      <c r="D929" s="253"/>
      <c r="E929" s="254"/>
      <c r="F929" s="253"/>
      <c r="G929" s="253"/>
      <c r="H929" s="173"/>
      <c r="I929" s="174"/>
      <c r="J929" s="174"/>
      <c r="K929" s="174"/>
      <c r="L929" s="174"/>
      <c r="M929" s="174"/>
      <c r="N929" s="174"/>
      <c r="O929" s="174"/>
      <c r="P929" s="174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</row>
    <row r="930" ht="12.75" customHeight="1">
      <c r="A930" s="253"/>
      <c r="B930" s="254"/>
      <c r="C930" s="253"/>
      <c r="D930" s="253"/>
      <c r="E930" s="254"/>
      <c r="F930" s="253"/>
      <c r="G930" s="253"/>
      <c r="H930" s="173"/>
      <c r="I930" s="174"/>
      <c r="J930" s="174"/>
      <c r="K930" s="174"/>
      <c r="L930" s="174"/>
      <c r="M930" s="174"/>
      <c r="N930" s="174"/>
      <c r="O930" s="174"/>
      <c r="P930" s="174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</row>
    <row r="931" ht="12.75" customHeight="1">
      <c r="A931" s="253"/>
      <c r="B931" s="254"/>
      <c r="C931" s="253"/>
      <c r="D931" s="253"/>
      <c r="E931" s="254"/>
      <c r="F931" s="253"/>
      <c r="G931" s="253"/>
      <c r="H931" s="173"/>
      <c r="I931" s="174"/>
      <c r="J931" s="174"/>
      <c r="K931" s="174"/>
      <c r="L931" s="174"/>
      <c r="M931" s="174"/>
      <c r="N931" s="174"/>
      <c r="O931" s="174"/>
      <c r="P931" s="174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</row>
    <row r="932" ht="12.75" customHeight="1">
      <c r="A932" s="253"/>
      <c r="B932" s="254"/>
      <c r="C932" s="253"/>
      <c r="D932" s="253"/>
      <c r="E932" s="254"/>
      <c r="F932" s="253"/>
      <c r="G932" s="253"/>
      <c r="H932" s="173"/>
      <c r="I932" s="174"/>
      <c r="J932" s="174"/>
      <c r="K932" s="174"/>
      <c r="L932" s="174"/>
      <c r="M932" s="174"/>
      <c r="N932" s="174"/>
      <c r="O932" s="174"/>
      <c r="P932" s="174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</row>
    <row r="933" ht="12.75" customHeight="1">
      <c r="A933" s="253"/>
      <c r="B933" s="254"/>
      <c r="C933" s="253"/>
      <c r="D933" s="253"/>
      <c r="E933" s="254"/>
      <c r="F933" s="253"/>
      <c r="G933" s="253"/>
      <c r="H933" s="173"/>
      <c r="I933" s="174"/>
      <c r="J933" s="174"/>
      <c r="K933" s="174"/>
      <c r="L933" s="174"/>
      <c r="M933" s="174"/>
      <c r="N933" s="174"/>
      <c r="O933" s="174"/>
      <c r="P933" s="174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</row>
    <row r="934" ht="12.75" customHeight="1">
      <c r="A934" s="253"/>
      <c r="B934" s="254"/>
      <c r="C934" s="253"/>
      <c r="D934" s="253"/>
      <c r="E934" s="254"/>
      <c r="F934" s="253"/>
      <c r="G934" s="253"/>
      <c r="H934" s="173"/>
      <c r="I934" s="174"/>
      <c r="J934" s="174"/>
      <c r="K934" s="174"/>
      <c r="L934" s="174"/>
      <c r="M934" s="174"/>
      <c r="N934" s="174"/>
      <c r="O934" s="174"/>
      <c r="P934" s="174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</row>
    <row r="935" ht="12.75" customHeight="1">
      <c r="A935" s="253"/>
      <c r="B935" s="254"/>
      <c r="C935" s="253"/>
      <c r="D935" s="253"/>
      <c r="E935" s="254"/>
      <c r="F935" s="253"/>
      <c r="G935" s="253"/>
      <c r="H935" s="173"/>
      <c r="I935" s="174"/>
      <c r="J935" s="174"/>
      <c r="K935" s="174"/>
      <c r="L935" s="174"/>
      <c r="M935" s="174"/>
      <c r="N935" s="174"/>
      <c r="O935" s="174"/>
      <c r="P935" s="174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</row>
    <row r="936" ht="12.75" customHeight="1">
      <c r="A936" s="253"/>
      <c r="B936" s="254"/>
      <c r="C936" s="253"/>
      <c r="D936" s="253"/>
      <c r="E936" s="254"/>
      <c r="F936" s="253"/>
      <c r="G936" s="253"/>
      <c r="H936" s="173"/>
      <c r="I936" s="174"/>
      <c r="J936" s="174"/>
      <c r="K936" s="174"/>
      <c r="L936" s="174"/>
      <c r="M936" s="174"/>
      <c r="N936" s="174"/>
      <c r="O936" s="174"/>
      <c r="P936" s="174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</row>
    <row r="937" ht="12.75" customHeight="1">
      <c r="A937" s="253"/>
      <c r="B937" s="254"/>
      <c r="C937" s="253"/>
      <c r="D937" s="253"/>
      <c r="E937" s="254"/>
      <c r="F937" s="253"/>
      <c r="G937" s="253"/>
      <c r="H937" s="173"/>
      <c r="I937" s="174"/>
      <c r="J937" s="174"/>
      <c r="K937" s="174"/>
      <c r="L937" s="174"/>
      <c r="M937" s="174"/>
      <c r="N937" s="174"/>
      <c r="O937" s="174"/>
      <c r="P937" s="174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</row>
    <row r="938" ht="12.75" customHeight="1">
      <c r="A938" s="253"/>
      <c r="B938" s="254"/>
      <c r="C938" s="253"/>
      <c r="D938" s="253"/>
      <c r="E938" s="254"/>
      <c r="F938" s="253"/>
      <c r="G938" s="253"/>
      <c r="H938" s="173"/>
      <c r="I938" s="174"/>
      <c r="J938" s="174"/>
      <c r="K938" s="174"/>
      <c r="L938" s="174"/>
      <c r="M938" s="174"/>
      <c r="N938" s="174"/>
      <c r="O938" s="174"/>
      <c r="P938" s="174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</row>
    <row r="939" ht="12.75" customHeight="1">
      <c r="A939" s="253"/>
      <c r="B939" s="254"/>
      <c r="C939" s="253"/>
      <c r="D939" s="253"/>
      <c r="E939" s="254"/>
      <c r="F939" s="253"/>
      <c r="G939" s="253"/>
      <c r="H939" s="173"/>
      <c r="I939" s="174"/>
      <c r="J939" s="174"/>
      <c r="K939" s="174"/>
      <c r="L939" s="174"/>
      <c r="M939" s="174"/>
      <c r="N939" s="174"/>
      <c r="O939" s="174"/>
      <c r="P939" s="174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</row>
    <row r="940" ht="12.75" customHeight="1">
      <c r="A940" s="253"/>
      <c r="B940" s="254"/>
      <c r="C940" s="253"/>
      <c r="D940" s="253"/>
      <c r="E940" s="254"/>
      <c r="F940" s="253"/>
      <c r="G940" s="253"/>
      <c r="H940" s="173"/>
      <c r="I940" s="174"/>
      <c r="J940" s="174"/>
      <c r="K940" s="174"/>
      <c r="L940" s="174"/>
      <c r="M940" s="174"/>
      <c r="N940" s="174"/>
      <c r="O940" s="174"/>
      <c r="P940" s="174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</row>
    <row r="941" ht="12.75" customHeight="1">
      <c r="A941" s="253"/>
      <c r="B941" s="254"/>
      <c r="C941" s="253"/>
      <c r="D941" s="253"/>
      <c r="E941" s="254"/>
      <c r="F941" s="253"/>
      <c r="G941" s="253"/>
      <c r="H941" s="173"/>
      <c r="I941" s="174"/>
      <c r="J941" s="174"/>
      <c r="K941" s="174"/>
      <c r="L941" s="174"/>
      <c r="M941" s="174"/>
      <c r="N941" s="174"/>
      <c r="O941" s="174"/>
      <c r="P941" s="174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</row>
    <row r="942" ht="12.75" customHeight="1">
      <c r="A942" s="253"/>
      <c r="B942" s="254"/>
      <c r="C942" s="253"/>
      <c r="D942" s="253"/>
      <c r="E942" s="254"/>
      <c r="F942" s="253"/>
      <c r="G942" s="253"/>
      <c r="H942" s="173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</row>
    <row r="943" ht="12.75" customHeight="1">
      <c r="A943" s="253"/>
      <c r="B943" s="254"/>
      <c r="C943" s="253"/>
      <c r="D943" s="253"/>
      <c r="E943" s="254"/>
      <c r="F943" s="253"/>
      <c r="G943" s="253"/>
      <c r="H943" s="173"/>
      <c r="I943" s="174"/>
      <c r="J943" s="174"/>
      <c r="K943" s="174"/>
      <c r="L943" s="174"/>
      <c r="M943" s="174"/>
      <c r="N943" s="174"/>
      <c r="O943" s="174"/>
      <c r="P943" s="174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</row>
    <row r="944" ht="12.75" customHeight="1">
      <c r="A944" s="253"/>
      <c r="B944" s="254"/>
      <c r="C944" s="253"/>
      <c r="D944" s="253"/>
      <c r="E944" s="254"/>
      <c r="F944" s="253"/>
      <c r="G944" s="253"/>
      <c r="H944" s="173"/>
      <c r="I944" s="174"/>
      <c r="J944" s="174"/>
      <c r="K944" s="174"/>
      <c r="L944" s="174"/>
      <c r="M944" s="174"/>
      <c r="N944" s="174"/>
      <c r="O944" s="174"/>
      <c r="P944" s="174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</row>
    <row r="945" ht="12.75" customHeight="1">
      <c r="A945" s="253"/>
      <c r="B945" s="254"/>
      <c r="C945" s="253"/>
      <c r="D945" s="253"/>
      <c r="E945" s="254"/>
      <c r="F945" s="253"/>
      <c r="G945" s="253"/>
      <c r="H945" s="173"/>
      <c r="I945" s="174"/>
      <c r="J945" s="174"/>
      <c r="K945" s="174"/>
      <c r="L945" s="174"/>
      <c r="M945" s="174"/>
      <c r="N945" s="174"/>
      <c r="O945" s="174"/>
      <c r="P945" s="174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</row>
    <row r="946" ht="12.75" customHeight="1">
      <c r="A946" s="253"/>
      <c r="B946" s="254"/>
      <c r="C946" s="253"/>
      <c r="D946" s="253"/>
      <c r="E946" s="254"/>
      <c r="F946" s="253"/>
      <c r="G946" s="253"/>
      <c r="H946" s="173"/>
      <c r="I946" s="174"/>
      <c r="J946" s="174"/>
      <c r="K946" s="174"/>
      <c r="L946" s="174"/>
      <c r="M946" s="174"/>
      <c r="N946" s="174"/>
      <c r="O946" s="174"/>
      <c r="P946" s="174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</row>
    <row r="947" ht="12.75" customHeight="1">
      <c r="A947" s="253"/>
      <c r="B947" s="254"/>
      <c r="C947" s="253"/>
      <c r="D947" s="253"/>
      <c r="E947" s="254"/>
      <c r="F947" s="253"/>
      <c r="G947" s="253"/>
      <c r="H947" s="173"/>
      <c r="I947" s="174"/>
      <c r="J947" s="174"/>
      <c r="K947" s="174"/>
      <c r="L947" s="174"/>
      <c r="M947" s="174"/>
      <c r="N947" s="174"/>
      <c r="O947" s="174"/>
      <c r="P947" s="174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</row>
    <row r="948" ht="12.75" customHeight="1">
      <c r="A948" s="253"/>
      <c r="B948" s="254"/>
      <c r="C948" s="253"/>
      <c r="D948" s="253"/>
      <c r="E948" s="254"/>
      <c r="F948" s="253"/>
      <c r="G948" s="253"/>
      <c r="H948" s="173"/>
      <c r="I948" s="174"/>
      <c r="J948" s="174"/>
      <c r="K948" s="174"/>
      <c r="L948" s="174"/>
      <c r="M948" s="174"/>
      <c r="N948" s="174"/>
      <c r="O948" s="174"/>
      <c r="P948" s="174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</row>
    <row r="949" ht="12.75" customHeight="1">
      <c r="A949" s="253"/>
      <c r="B949" s="254"/>
      <c r="C949" s="253"/>
      <c r="D949" s="253"/>
      <c r="E949" s="254"/>
      <c r="F949" s="253"/>
      <c r="G949" s="253"/>
      <c r="H949" s="173"/>
      <c r="I949" s="174"/>
      <c r="J949" s="174"/>
      <c r="K949" s="174"/>
      <c r="L949" s="174"/>
      <c r="M949" s="174"/>
      <c r="N949" s="174"/>
      <c r="O949" s="174"/>
      <c r="P949" s="174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</row>
    <row r="950" ht="12.75" customHeight="1">
      <c r="A950" s="253"/>
      <c r="B950" s="254"/>
      <c r="C950" s="253"/>
      <c r="D950" s="253"/>
      <c r="E950" s="254"/>
      <c r="F950" s="253"/>
      <c r="G950" s="253"/>
      <c r="H950" s="173"/>
      <c r="I950" s="174"/>
      <c r="J950" s="174"/>
      <c r="K950" s="174"/>
      <c r="L950" s="174"/>
      <c r="M950" s="174"/>
      <c r="N950" s="174"/>
      <c r="O950" s="174"/>
      <c r="P950" s="174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</row>
    <row r="951" ht="12.75" customHeight="1">
      <c r="A951" s="253"/>
      <c r="B951" s="254"/>
      <c r="C951" s="253"/>
      <c r="D951" s="253"/>
      <c r="E951" s="254"/>
      <c r="F951" s="253"/>
      <c r="G951" s="253"/>
      <c r="H951" s="173"/>
      <c r="I951" s="174"/>
      <c r="J951" s="174"/>
      <c r="K951" s="174"/>
      <c r="L951" s="174"/>
      <c r="M951" s="174"/>
      <c r="N951" s="174"/>
      <c r="O951" s="174"/>
      <c r="P951" s="174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</row>
    <row r="952" ht="12.75" customHeight="1">
      <c r="A952" s="253"/>
      <c r="B952" s="254"/>
      <c r="C952" s="253"/>
      <c r="D952" s="253"/>
      <c r="E952" s="254"/>
      <c r="F952" s="253"/>
      <c r="G952" s="253"/>
      <c r="H952" s="173"/>
      <c r="I952" s="174"/>
      <c r="J952" s="174"/>
      <c r="K952" s="174"/>
      <c r="L952" s="174"/>
      <c r="M952" s="174"/>
      <c r="N952" s="174"/>
      <c r="O952" s="174"/>
      <c r="P952" s="174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</row>
    <row r="953" ht="12.75" customHeight="1">
      <c r="A953" s="253"/>
      <c r="B953" s="254"/>
      <c r="C953" s="253"/>
      <c r="D953" s="253"/>
      <c r="E953" s="254"/>
      <c r="F953" s="253"/>
      <c r="G953" s="253"/>
      <c r="H953" s="173"/>
      <c r="I953" s="174"/>
      <c r="J953" s="174"/>
      <c r="K953" s="174"/>
      <c r="L953" s="174"/>
      <c r="M953" s="174"/>
      <c r="N953" s="174"/>
      <c r="O953" s="174"/>
      <c r="P953" s="174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</row>
    <row r="954" ht="12.75" customHeight="1">
      <c r="A954" s="253"/>
      <c r="B954" s="254"/>
      <c r="C954" s="253"/>
      <c r="D954" s="253"/>
      <c r="E954" s="254"/>
      <c r="F954" s="253"/>
      <c r="G954" s="253"/>
      <c r="H954" s="173"/>
      <c r="I954" s="174"/>
      <c r="J954" s="174"/>
      <c r="K954" s="174"/>
      <c r="L954" s="174"/>
      <c r="M954" s="174"/>
      <c r="N954" s="174"/>
      <c r="O954" s="174"/>
      <c r="P954" s="174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</row>
    <row r="955" ht="12.75" customHeight="1">
      <c r="A955" s="253"/>
      <c r="B955" s="254"/>
      <c r="C955" s="253"/>
      <c r="D955" s="253"/>
      <c r="E955" s="254"/>
      <c r="F955" s="253"/>
      <c r="G955" s="253"/>
      <c r="H955" s="173"/>
      <c r="I955" s="174"/>
      <c r="J955" s="174"/>
      <c r="K955" s="174"/>
      <c r="L955" s="174"/>
      <c r="M955" s="174"/>
      <c r="N955" s="174"/>
      <c r="O955" s="174"/>
      <c r="P955" s="174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</row>
    <row r="956" ht="12.75" customHeight="1">
      <c r="A956" s="253"/>
      <c r="B956" s="254"/>
      <c r="C956" s="253"/>
      <c r="D956" s="253"/>
      <c r="E956" s="254"/>
      <c r="F956" s="253"/>
      <c r="G956" s="253"/>
      <c r="H956" s="173"/>
      <c r="I956" s="174"/>
      <c r="J956" s="174"/>
      <c r="K956" s="174"/>
      <c r="L956" s="174"/>
      <c r="M956" s="174"/>
      <c r="N956" s="174"/>
      <c r="O956" s="174"/>
      <c r="P956" s="174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</row>
    <row r="957" ht="12.75" customHeight="1">
      <c r="A957" s="253"/>
      <c r="B957" s="254"/>
      <c r="C957" s="253"/>
      <c r="D957" s="253"/>
      <c r="E957" s="254"/>
      <c r="F957" s="253"/>
      <c r="G957" s="253"/>
      <c r="H957" s="173"/>
      <c r="I957" s="174"/>
      <c r="J957" s="174"/>
      <c r="K957" s="174"/>
      <c r="L957" s="174"/>
      <c r="M957" s="174"/>
      <c r="N957" s="174"/>
      <c r="O957" s="174"/>
      <c r="P957" s="174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</row>
    <row r="958" ht="12.75" customHeight="1">
      <c r="A958" s="253"/>
      <c r="B958" s="254"/>
      <c r="C958" s="253"/>
      <c r="D958" s="253"/>
      <c r="E958" s="254"/>
      <c r="F958" s="253"/>
      <c r="G958" s="253"/>
      <c r="H958" s="173"/>
      <c r="I958" s="174"/>
      <c r="J958" s="174"/>
      <c r="K958" s="174"/>
      <c r="L958" s="174"/>
      <c r="M958" s="174"/>
      <c r="N958" s="174"/>
      <c r="O958" s="174"/>
      <c r="P958" s="174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</row>
    <row r="959" ht="12.75" customHeight="1">
      <c r="A959" s="253"/>
      <c r="B959" s="254"/>
      <c r="C959" s="253"/>
      <c r="D959" s="253"/>
      <c r="E959" s="254"/>
      <c r="F959" s="253"/>
      <c r="G959" s="253"/>
      <c r="H959" s="173"/>
      <c r="I959" s="174"/>
      <c r="J959" s="174"/>
      <c r="K959" s="174"/>
      <c r="L959" s="174"/>
      <c r="M959" s="174"/>
      <c r="N959" s="174"/>
      <c r="O959" s="174"/>
      <c r="P959" s="174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</row>
    <row r="960" ht="12.75" customHeight="1">
      <c r="A960" s="253"/>
      <c r="B960" s="254"/>
      <c r="C960" s="253"/>
      <c r="D960" s="253"/>
      <c r="E960" s="254"/>
      <c r="F960" s="253"/>
      <c r="G960" s="253"/>
      <c r="H960" s="173"/>
      <c r="I960" s="174"/>
      <c r="J960" s="174"/>
      <c r="K960" s="174"/>
      <c r="L960" s="174"/>
      <c r="M960" s="174"/>
      <c r="N960" s="174"/>
      <c r="O960" s="174"/>
      <c r="P960" s="174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</row>
    <row r="961" ht="12.75" customHeight="1">
      <c r="A961" s="253"/>
      <c r="B961" s="254"/>
      <c r="C961" s="253"/>
      <c r="D961" s="253"/>
      <c r="E961" s="254"/>
      <c r="F961" s="253"/>
      <c r="G961" s="253"/>
      <c r="H961" s="173"/>
      <c r="I961" s="174"/>
      <c r="J961" s="174"/>
      <c r="K961" s="174"/>
      <c r="L961" s="174"/>
      <c r="M961" s="174"/>
      <c r="N961" s="174"/>
      <c r="O961" s="174"/>
      <c r="P961" s="174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</row>
    <row r="962" ht="12.75" customHeight="1">
      <c r="A962" s="253"/>
      <c r="B962" s="254"/>
      <c r="C962" s="253"/>
      <c r="D962" s="253"/>
      <c r="E962" s="254"/>
      <c r="F962" s="253"/>
      <c r="G962" s="253"/>
      <c r="H962" s="173"/>
      <c r="I962" s="174"/>
      <c r="J962" s="174"/>
      <c r="K962" s="174"/>
      <c r="L962" s="174"/>
      <c r="M962" s="174"/>
      <c r="N962" s="174"/>
      <c r="O962" s="174"/>
      <c r="P962" s="174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</row>
    <row r="963" ht="12.75" customHeight="1">
      <c r="A963" s="253"/>
      <c r="B963" s="254"/>
      <c r="C963" s="253"/>
      <c r="D963" s="253"/>
      <c r="E963" s="254"/>
      <c r="F963" s="253"/>
      <c r="G963" s="253"/>
      <c r="H963" s="173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</row>
    <row r="964" ht="12.75" customHeight="1">
      <c r="A964" s="253"/>
      <c r="B964" s="254"/>
      <c r="C964" s="253"/>
      <c r="D964" s="253"/>
      <c r="E964" s="254"/>
      <c r="F964" s="253"/>
      <c r="G964" s="253"/>
      <c r="H964" s="173"/>
      <c r="I964" s="174"/>
      <c r="J964" s="174"/>
      <c r="K964" s="174"/>
      <c r="L964" s="174"/>
      <c r="M964" s="174"/>
      <c r="N964" s="174"/>
      <c r="O964" s="174"/>
      <c r="P964" s="174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</row>
    <row r="965" ht="12.75" customHeight="1">
      <c r="A965" s="253"/>
      <c r="B965" s="254"/>
      <c r="C965" s="253"/>
      <c r="D965" s="253"/>
      <c r="E965" s="254"/>
      <c r="F965" s="253"/>
      <c r="G965" s="253"/>
      <c r="H965" s="173"/>
      <c r="I965" s="174"/>
      <c r="J965" s="174"/>
      <c r="K965" s="174"/>
      <c r="L965" s="174"/>
      <c r="M965" s="174"/>
      <c r="N965" s="174"/>
      <c r="O965" s="174"/>
      <c r="P965" s="174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</row>
    <row r="966" ht="12.75" customHeight="1">
      <c r="A966" s="253"/>
      <c r="B966" s="254"/>
      <c r="C966" s="253"/>
      <c r="D966" s="253"/>
      <c r="E966" s="254"/>
      <c r="F966" s="253"/>
      <c r="G966" s="253"/>
      <c r="H966" s="173"/>
      <c r="I966" s="174"/>
      <c r="J966" s="174"/>
      <c r="K966" s="174"/>
      <c r="L966" s="174"/>
      <c r="M966" s="174"/>
      <c r="N966" s="174"/>
      <c r="O966" s="174"/>
      <c r="P966" s="174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</row>
    <row r="967" ht="12.75" customHeight="1">
      <c r="A967" s="253"/>
      <c r="B967" s="254"/>
      <c r="C967" s="253"/>
      <c r="D967" s="253"/>
      <c r="E967" s="254"/>
      <c r="F967" s="253"/>
      <c r="G967" s="253"/>
      <c r="H967" s="173"/>
      <c r="I967" s="174"/>
      <c r="J967" s="174"/>
      <c r="K967" s="174"/>
      <c r="L967" s="174"/>
      <c r="M967" s="174"/>
      <c r="N967" s="174"/>
      <c r="O967" s="174"/>
      <c r="P967" s="174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</row>
    <row r="968" ht="12.75" customHeight="1">
      <c r="A968" s="253"/>
      <c r="B968" s="254"/>
      <c r="C968" s="253"/>
      <c r="D968" s="253"/>
      <c r="E968" s="254"/>
      <c r="F968" s="253"/>
      <c r="G968" s="253"/>
      <c r="H968" s="173"/>
      <c r="I968" s="174"/>
      <c r="J968" s="174"/>
      <c r="K968" s="174"/>
      <c r="L968" s="174"/>
      <c r="M968" s="174"/>
      <c r="N968" s="174"/>
      <c r="O968" s="174"/>
      <c r="P968" s="174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</row>
    <row r="969" ht="12.75" customHeight="1">
      <c r="A969" s="253"/>
      <c r="B969" s="254"/>
      <c r="C969" s="253"/>
      <c r="D969" s="253"/>
      <c r="E969" s="254"/>
      <c r="F969" s="253"/>
      <c r="G969" s="253"/>
      <c r="H969" s="173"/>
      <c r="I969" s="174"/>
      <c r="J969" s="174"/>
      <c r="K969" s="174"/>
      <c r="L969" s="174"/>
      <c r="M969" s="174"/>
      <c r="N969" s="174"/>
      <c r="O969" s="174"/>
      <c r="P969" s="174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</row>
    <row r="970" ht="12.75" customHeight="1">
      <c r="A970" s="253"/>
      <c r="B970" s="254"/>
      <c r="C970" s="253"/>
      <c r="D970" s="253"/>
      <c r="E970" s="254"/>
      <c r="F970" s="253"/>
      <c r="G970" s="253"/>
      <c r="H970" s="173"/>
      <c r="I970" s="174"/>
      <c r="J970" s="174"/>
      <c r="K970" s="174"/>
      <c r="L970" s="174"/>
      <c r="M970" s="174"/>
      <c r="N970" s="174"/>
      <c r="O970" s="174"/>
      <c r="P970" s="174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</row>
    <row r="971" ht="12.75" customHeight="1">
      <c r="A971" s="253"/>
      <c r="B971" s="254"/>
      <c r="C971" s="253"/>
      <c r="D971" s="253"/>
      <c r="E971" s="254"/>
      <c r="F971" s="253"/>
      <c r="G971" s="253"/>
      <c r="H971" s="173"/>
      <c r="I971" s="174"/>
      <c r="J971" s="174"/>
      <c r="K971" s="174"/>
      <c r="L971" s="174"/>
      <c r="M971" s="174"/>
      <c r="N971" s="174"/>
      <c r="O971" s="174"/>
      <c r="P971" s="174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</row>
    <row r="972" ht="12.75" customHeight="1">
      <c r="A972" s="253"/>
      <c r="B972" s="254"/>
      <c r="C972" s="253"/>
      <c r="D972" s="253"/>
      <c r="E972" s="254"/>
      <c r="F972" s="253"/>
      <c r="G972" s="253"/>
      <c r="H972" s="173"/>
      <c r="I972" s="174"/>
      <c r="J972" s="174"/>
      <c r="K972" s="174"/>
      <c r="L972" s="174"/>
      <c r="M972" s="174"/>
      <c r="N972" s="174"/>
      <c r="O972" s="174"/>
      <c r="P972" s="174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</row>
    <row r="973" ht="12.75" customHeight="1">
      <c r="A973" s="253"/>
      <c r="B973" s="254"/>
      <c r="C973" s="253"/>
      <c r="D973" s="253"/>
      <c r="E973" s="254"/>
      <c r="F973" s="253"/>
      <c r="G973" s="253"/>
      <c r="H973" s="173"/>
      <c r="I973" s="174"/>
      <c r="J973" s="174"/>
      <c r="K973" s="174"/>
      <c r="L973" s="174"/>
      <c r="M973" s="174"/>
      <c r="N973" s="174"/>
      <c r="O973" s="174"/>
      <c r="P973" s="174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</row>
    <row r="974" ht="12.75" customHeight="1">
      <c r="A974" s="253"/>
      <c r="B974" s="254"/>
      <c r="C974" s="253"/>
      <c r="D974" s="253"/>
      <c r="E974" s="254"/>
      <c r="F974" s="253"/>
      <c r="G974" s="253"/>
      <c r="H974" s="173"/>
      <c r="I974" s="174"/>
      <c r="J974" s="174"/>
      <c r="K974" s="174"/>
      <c r="L974" s="174"/>
      <c r="M974" s="174"/>
      <c r="N974" s="174"/>
      <c r="O974" s="174"/>
      <c r="P974" s="174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</row>
    <row r="975" ht="12.75" customHeight="1">
      <c r="A975" s="253"/>
      <c r="B975" s="254"/>
      <c r="C975" s="253"/>
      <c r="D975" s="253"/>
      <c r="E975" s="254"/>
      <c r="F975" s="253"/>
      <c r="G975" s="253"/>
      <c r="H975" s="173"/>
      <c r="I975" s="174"/>
      <c r="J975" s="174"/>
      <c r="K975" s="174"/>
      <c r="L975" s="174"/>
      <c r="M975" s="174"/>
      <c r="N975" s="174"/>
      <c r="O975" s="174"/>
      <c r="P975" s="174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</row>
    <row r="976" ht="12.75" customHeight="1">
      <c r="A976" s="253"/>
      <c r="B976" s="254"/>
      <c r="C976" s="253"/>
      <c r="D976" s="253"/>
      <c r="E976" s="254"/>
      <c r="F976" s="253"/>
      <c r="G976" s="253"/>
      <c r="H976" s="173"/>
      <c r="I976" s="174"/>
      <c r="J976" s="174"/>
      <c r="K976" s="174"/>
      <c r="L976" s="174"/>
      <c r="M976" s="174"/>
      <c r="N976" s="174"/>
      <c r="O976" s="174"/>
      <c r="P976" s="174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</row>
    <row r="977" ht="12.75" customHeight="1">
      <c r="A977" s="253"/>
      <c r="B977" s="254"/>
      <c r="C977" s="253"/>
      <c r="D977" s="253"/>
      <c r="E977" s="254"/>
      <c r="F977" s="253"/>
      <c r="G977" s="253"/>
      <c r="H977" s="173"/>
      <c r="I977" s="174"/>
      <c r="J977" s="174"/>
      <c r="K977" s="174"/>
      <c r="L977" s="174"/>
      <c r="M977" s="174"/>
      <c r="N977" s="174"/>
      <c r="O977" s="174"/>
      <c r="P977" s="174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</row>
    <row r="978" ht="12.75" customHeight="1">
      <c r="A978" s="253"/>
      <c r="B978" s="254"/>
      <c r="C978" s="253"/>
      <c r="D978" s="253"/>
      <c r="E978" s="254"/>
      <c r="F978" s="253"/>
      <c r="G978" s="253"/>
      <c r="H978" s="173"/>
      <c r="I978" s="174"/>
      <c r="J978" s="174"/>
      <c r="K978" s="174"/>
      <c r="L978" s="174"/>
      <c r="M978" s="174"/>
      <c r="N978" s="174"/>
      <c r="O978" s="174"/>
      <c r="P978" s="174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</row>
    <row r="979" ht="12.75" customHeight="1">
      <c r="A979" s="253"/>
      <c r="B979" s="254"/>
      <c r="C979" s="253"/>
      <c r="D979" s="253"/>
      <c r="E979" s="254"/>
      <c r="F979" s="253"/>
      <c r="G979" s="253"/>
      <c r="H979" s="173"/>
      <c r="I979" s="174"/>
      <c r="J979" s="174"/>
      <c r="K979" s="174"/>
      <c r="L979" s="174"/>
      <c r="M979" s="174"/>
      <c r="N979" s="174"/>
      <c r="O979" s="174"/>
      <c r="P979" s="174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</row>
    <row r="980" ht="12.75" customHeight="1">
      <c r="A980" s="253"/>
      <c r="B980" s="254"/>
      <c r="C980" s="253"/>
      <c r="D980" s="253"/>
      <c r="E980" s="254"/>
      <c r="F980" s="253"/>
      <c r="G980" s="253"/>
      <c r="H980" s="173"/>
      <c r="I980" s="174"/>
      <c r="J980" s="174"/>
      <c r="K980" s="174"/>
      <c r="L980" s="174"/>
      <c r="M980" s="174"/>
      <c r="N980" s="174"/>
      <c r="O980" s="174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</row>
    <row r="981" ht="12.75" customHeight="1">
      <c r="A981" s="253"/>
      <c r="B981" s="254"/>
      <c r="C981" s="253"/>
      <c r="D981" s="253"/>
      <c r="E981" s="254"/>
      <c r="F981" s="253"/>
      <c r="G981" s="253"/>
      <c r="H981" s="173"/>
      <c r="I981" s="174"/>
      <c r="J981" s="174"/>
      <c r="K981" s="174"/>
      <c r="L981" s="174"/>
      <c r="M981" s="174"/>
      <c r="N981" s="174"/>
      <c r="O981" s="174"/>
      <c r="P981" s="174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</row>
    <row r="982" ht="12.75" customHeight="1">
      <c r="A982" s="253"/>
      <c r="B982" s="254"/>
      <c r="C982" s="253"/>
      <c r="D982" s="253"/>
      <c r="E982" s="254"/>
      <c r="F982" s="253"/>
      <c r="G982" s="253"/>
      <c r="H982" s="173"/>
      <c r="I982" s="174"/>
      <c r="J982" s="174"/>
      <c r="K982" s="174"/>
      <c r="L982" s="174"/>
      <c r="M982" s="174"/>
      <c r="N982" s="174"/>
      <c r="O982" s="174"/>
      <c r="P982" s="174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</row>
    <row r="983" ht="12.75" customHeight="1">
      <c r="A983" s="253"/>
      <c r="B983" s="254"/>
      <c r="C983" s="253"/>
      <c r="D983" s="253"/>
      <c r="E983" s="254"/>
      <c r="F983" s="253"/>
      <c r="G983" s="253"/>
      <c r="H983" s="173"/>
      <c r="I983" s="174"/>
      <c r="J983" s="174"/>
      <c r="K983" s="174"/>
      <c r="L983" s="174"/>
      <c r="M983" s="174"/>
      <c r="N983" s="174"/>
      <c r="O983" s="174"/>
      <c r="P983" s="174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</row>
    <row r="984" ht="12.75" customHeight="1">
      <c r="A984" s="253"/>
      <c r="B984" s="254"/>
      <c r="C984" s="253"/>
      <c r="D984" s="253"/>
      <c r="E984" s="254"/>
      <c r="F984" s="253"/>
      <c r="G984" s="253"/>
      <c r="H984" s="173"/>
      <c r="I984" s="174"/>
      <c r="J984" s="174"/>
      <c r="K984" s="174"/>
      <c r="L984" s="174"/>
      <c r="M984" s="174"/>
      <c r="N984" s="174"/>
      <c r="O984" s="174"/>
      <c r="P984" s="174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</row>
    <row r="985" ht="12.75" customHeight="1">
      <c r="A985" s="253"/>
      <c r="B985" s="254"/>
      <c r="C985" s="253"/>
      <c r="D985" s="253"/>
      <c r="E985" s="254"/>
      <c r="F985" s="253"/>
      <c r="G985" s="253"/>
      <c r="H985" s="173"/>
      <c r="I985" s="174"/>
      <c r="J985" s="174"/>
      <c r="K985" s="174"/>
      <c r="L985" s="174"/>
      <c r="M985" s="174"/>
      <c r="N985" s="174"/>
      <c r="O985" s="174"/>
      <c r="P985" s="174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</row>
    <row r="986" ht="12.75" customHeight="1">
      <c r="A986" s="253"/>
      <c r="B986" s="254"/>
      <c r="C986" s="253"/>
      <c r="D986" s="253"/>
      <c r="E986" s="254"/>
      <c r="F986" s="253"/>
      <c r="G986" s="253"/>
      <c r="H986" s="173"/>
      <c r="I986" s="174"/>
      <c r="J986" s="174"/>
      <c r="K986" s="174"/>
      <c r="L986" s="174"/>
      <c r="M986" s="174"/>
      <c r="N986" s="174"/>
      <c r="O986" s="174"/>
      <c r="P986" s="174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</row>
    <row r="987" ht="12.75" customHeight="1">
      <c r="A987" s="253"/>
      <c r="B987" s="254"/>
      <c r="C987" s="253"/>
      <c r="D987" s="253"/>
      <c r="E987" s="254"/>
      <c r="F987" s="253"/>
      <c r="G987" s="253"/>
      <c r="H987" s="173"/>
      <c r="I987" s="174"/>
      <c r="J987" s="174"/>
      <c r="K987" s="174"/>
      <c r="L987" s="174"/>
      <c r="M987" s="174"/>
      <c r="N987" s="174"/>
      <c r="O987" s="174"/>
      <c r="P987" s="174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</row>
    <row r="988" ht="12.75" customHeight="1">
      <c r="A988" s="253"/>
      <c r="B988" s="254"/>
      <c r="C988" s="253"/>
      <c r="D988" s="253"/>
      <c r="E988" s="254"/>
      <c r="F988" s="253"/>
      <c r="G988" s="253"/>
      <c r="H988" s="173"/>
      <c r="I988" s="174"/>
      <c r="J988" s="174"/>
      <c r="K988" s="174"/>
      <c r="L988" s="174"/>
      <c r="M988" s="174"/>
      <c r="N988" s="174"/>
      <c r="O988" s="174"/>
      <c r="P988" s="174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</row>
    <row r="989" ht="12.75" customHeight="1">
      <c r="A989" s="253"/>
      <c r="B989" s="254"/>
      <c r="C989" s="253"/>
      <c r="D989" s="253"/>
      <c r="E989" s="254"/>
      <c r="F989" s="253"/>
      <c r="G989" s="253"/>
      <c r="H989" s="173"/>
      <c r="I989" s="174"/>
      <c r="J989" s="174"/>
      <c r="K989" s="174"/>
      <c r="L989" s="174"/>
      <c r="M989" s="174"/>
      <c r="N989" s="174"/>
      <c r="O989" s="174"/>
      <c r="P989" s="174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</row>
    <row r="990" ht="12.75" customHeight="1">
      <c r="A990" s="253"/>
      <c r="B990" s="254"/>
      <c r="C990" s="253"/>
      <c r="D990" s="253"/>
      <c r="E990" s="254"/>
      <c r="F990" s="253"/>
      <c r="G990" s="253"/>
      <c r="H990" s="173"/>
      <c r="I990" s="174"/>
      <c r="J990" s="174"/>
      <c r="K990" s="174"/>
      <c r="L990" s="174"/>
      <c r="M990" s="174"/>
      <c r="N990" s="174"/>
      <c r="O990" s="174"/>
      <c r="P990" s="174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</row>
    <row r="991" ht="12.75" customHeight="1">
      <c r="A991" s="253"/>
      <c r="B991" s="254"/>
      <c r="C991" s="253"/>
      <c r="D991" s="253"/>
      <c r="E991" s="254"/>
      <c r="F991" s="253"/>
      <c r="G991" s="253"/>
      <c r="H991" s="173"/>
      <c r="I991" s="174"/>
      <c r="J991" s="174"/>
      <c r="K991" s="174"/>
      <c r="L991" s="174"/>
      <c r="M991" s="174"/>
      <c r="N991" s="174"/>
      <c r="O991" s="174"/>
      <c r="P991" s="174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</row>
    <row r="992" ht="12.75" customHeight="1">
      <c r="A992" s="253"/>
      <c r="B992" s="254"/>
      <c r="C992" s="253"/>
      <c r="D992" s="253"/>
      <c r="E992" s="254"/>
      <c r="F992" s="253"/>
      <c r="G992" s="253"/>
      <c r="H992" s="173"/>
      <c r="I992" s="174"/>
      <c r="J992" s="174"/>
      <c r="K992" s="174"/>
      <c r="L992" s="174"/>
      <c r="M992" s="174"/>
      <c r="N992" s="174"/>
      <c r="O992" s="174"/>
      <c r="P992" s="174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</row>
    <row r="993" ht="12.75" customHeight="1">
      <c r="A993" s="253"/>
      <c r="B993" s="254"/>
      <c r="C993" s="253"/>
      <c r="D993" s="253"/>
      <c r="E993" s="254"/>
      <c r="F993" s="253"/>
      <c r="G993" s="253"/>
      <c r="H993" s="173"/>
      <c r="I993" s="174"/>
      <c r="J993" s="174"/>
      <c r="K993" s="174"/>
      <c r="L993" s="174"/>
      <c r="M993" s="174"/>
      <c r="N993" s="174"/>
      <c r="O993" s="174"/>
      <c r="P993" s="174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</row>
    <row r="994" ht="12.75" customHeight="1">
      <c r="A994" s="253"/>
      <c r="B994" s="254"/>
      <c r="C994" s="253"/>
      <c r="D994" s="253"/>
      <c r="E994" s="254"/>
      <c r="F994" s="253"/>
      <c r="G994" s="253"/>
      <c r="H994" s="173"/>
      <c r="I994" s="174"/>
      <c r="J994" s="174"/>
      <c r="K994" s="174"/>
      <c r="L994" s="174"/>
      <c r="M994" s="174"/>
      <c r="N994" s="174"/>
      <c r="O994" s="174"/>
      <c r="P994" s="174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</row>
    <row r="995" ht="12.75" customHeight="1">
      <c r="A995" s="253"/>
      <c r="B995" s="254"/>
      <c r="C995" s="253"/>
      <c r="D995" s="253"/>
      <c r="E995" s="254"/>
      <c r="F995" s="253"/>
      <c r="G995" s="253"/>
      <c r="H995" s="173"/>
      <c r="I995" s="174"/>
      <c r="J995" s="174"/>
      <c r="K995" s="174"/>
      <c r="L995" s="174"/>
      <c r="M995" s="174"/>
      <c r="N995" s="174"/>
      <c r="O995" s="174"/>
      <c r="P995" s="174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</row>
    <row r="996" ht="12.75" customHeight="1">
      <c r="A996" s="253"/>
      <c r="B996" s="254"/>
      <c r="C996" s="253"/>
      <c r="D996" s="253"/>
      <c r="E996" s="254"/>
      <c r="F996" s="253"/>
      <c r="G996" s="253"/>
      <c r="H996" s="173"/>
      <c r="I996" s="174"/>
      <c r="J996" s="174"/>
      <c r="K996" s="174"/>
      <c r="L996" s="174"/>
      <c r="M996" s="174"/>
      <c r="N996" s="174"/>
      <c r="O996" s="174"/>
      <c r="P996" s="174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</row>
    <row r="997" ht="12.75" customHeight="1">
      <c r="A997" s="253"/>
      <c r="B997" s="254"/>
      <c r="C997" s="253"/>
      <c r="D997" s="253"/>
      <c r="E997" s="254"/>
      <c r="F997" s="253"/>
      <c r="G997" s="253"/>
      <c r="H997" s="173"/>
      <c r="I997" s="174"/>
      <c r="J997" s="174"/>
      <c r="K997" s="174"/>
      <c r="L997" s="174"/>
      <c r="M997" s="174"/>
      <c r="N997" s="174"/>
      <c r="O997" s="174"/>
      <c r="P997" s="174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</row>
    <row r="998" ht="12.75" customHeight="1">
      <c r="A998" s="253"/>
      <c r="B998" s="254"/>
      <c r="C998" s="253"/>
      <c r="D998" s="253"/>
      <c r="E998" s="254"/>
      <c r="F998" s="253"/>
      <c r="G998" s="253"/>
      <c r="H998" s="173"/>
      <c r="I998" s="174"/>
      <c r="J998" s="174"/>
      <c r="K998" s="174"/>
      <c r="L998" s="174"/>
      <c r="M998" s="174"/>
      <c r="N998" s="174"/>
      <c r="O998" s="174"/>
      <c r="P998" s="174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</row>
    <row r="999" ht="12.75" customHeight="1">
      <c r="A999" s="253"/>
      <c r="B999" s="254"/>
      <c r="C999" s="253"/>
      <c r="D999" s="253"/>
      <c r="E999" s="254"/>
      <c r="F999" s="253"/>
      <c r="G999" s="253"/>
      <c r="H999" s="173"/>
      <c r="I999" s="174"/>
      <c r="J999" s="174"/>
      <c r="K999" s="174"/>
      <c r="L999" s="174"/>
      <c r="M999" s="174"/>
      <c r="N999" s="174"/>
      <c r="O999" s="174"/>
      <c r="P999" s="174"/>
      <c r="Q999" s="174"/>
      <c r="R999" s="174"/>
      <c r="S999" s="174"/>
      <c r="T999" s="174"/>
      <c r="U999" s="174"/>
      <c r="V999" s="174"/>
      <c r="W999" s="174"/>
      <c r="X999" s="174"/>
      <c r="Y999" s="174"/>
      <c r="Z999" s="174"/>
    </row>
    <row r="1000" ht="12.75" customHeight="1">
      <c r="A1000" s="253"/>
      <c r="B1000" s="254"/>
      <c r="C1000" s="253"/>
      <c r="D1000" s="253"/>
      <c r="E1000" s="254"/>
      <c r="F1000" s="253"/>
      <c r="G1000" s="253"/>
      <c r="H1000" s="173"/>
      <c r="I1000" s="174"/>
      <c r="J1000" s="174"/>
      <c r="K1000" s="174"/>
      <c r="L1000" s="174"/>
      <c r="M1000" s="174"/>
      <c r="N1000" s="174"/>
      <c r="O1000" s="174"/>
      <c r="P1000" s="174"/>
      <c r="Q1000" s="174"/>
      <c r="R1000" s="174"/>
      <c r="S1000" s="174"/>
      <c r="T1000" s="174"/>
      <c r="U1000" s="174"/>
      <c r="V1000" s="174"/>
      <c r="W1000" s="174"/>
      <c r="X1000" s="174"/>
      <c r="Y1000" s="174"/>
      <c r="Z1000" s="174"/>
    </row>
    <row r="1001" ht="12.75" customHeight="1">
      <c r="A1001" s="253"/>
      <c r="B1001" s="254"/>
      <c r="C1001" s="253"/>
      <c r="D1001" s="253"/>
      <c r="E1001" s="254"/>
      <c r="F1001" s="253"/>
      <c r="G1001" s="253"/>
      <c r="H1001" s="173"/>
      <c r="I1001" s="174"/>
      <c r="J1001" s="174"/>
      <c r="K1001" s="174"/>
      <c r="L1001" s="174"/>
      <c r="M1001" s="174"/>
      <c r="N1001" s="174"/>
      <c r="O1001" s="174"/>
      <c r="P1001" s="174"/>
      <c r="Q1001" s="174"/>
      <c r="R1001" s="174"/>
      <c r="S1001" s="174"/>
      <c r="T1001" s="174"/>
      <c r="U1001" s="174"/>
      <c r="V1001" s="174"/>
      <c r="W1001" s="174"/>
      <c r="X1001" s="174"/>
      <c r="Y1001" s="174"/>
      <c r="Z1001" s="174"/>
    </row>
  </sheetData>
  <autoFilter ref="$A$1:$G$84"/>
  <mergeCells count="2">
    <mergeCell ref="A1:D1"/>
    <mergeCell ref="E1:G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67.43"/>
    <col customWidth="1" min="3" max="3" width="17.14"/>
    <col customWidth="1" min="4" max="4" width="14.14"/>
    <col customWidth="1" min="5" max="5" width="12.29"/>
    <col customWidth="1" min="6" max="8" width="9.14"/>
    <col customWidth="1" min="9" max="10" width="12.29"/>
    <col customWidth="1" min="11" max="13" width="9.14"/>
    <col customWidth="1" min="14" max="14" width="10.57"/>
    <col customWidth="1" min="15" max="15" width="9.14"/>
    <col customWidth="1" min="16" max="26" width="8.0"/>
  </cols>
  <sheetData>
    <row r="1" ht="12.0" customHeight="1">
      <c r="A1" s="327"/>
      <c r="B1" s="327"/>
      <c r="C1" s="328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ht="12.0" customHeight="1">
      <c r="A2" s="327"/>
      <c r="B2" s="327"/>
      <c r="C2" s="328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ht="12.0" customHeight="1">
      <c r="A3" s="329" t="s">
        <v>1386</v>
      </c>
      <c r="B3" s="330" t="s">
        <v>1387</v>
      </c>
      <c r="C3" s="332">
        <f>'2016'!E254-'2016'!E261</f>
        <v>12629.26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</row>
    <row r="4" ht="12.0" customHeight="1">
      <c r="A4" s="329" t="s">
        <v>1386</v>
      </c>
      <c r="B4" s="330" t="s">
        <v>48</v>
      </c>
      <c r="C4" s="332">
        <f>('2016'!E13-'2016'!E26)+844.03</f>
        <v>11514.28</v>
      </c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</row>
    <row r="5" ht="12.0" customHeight="1">
      <c r="A5" s="327"/>
      <c r="B5" s="327"/>
      <c r="C5" s="328">
        <f>SUM(C3:C4)</f>
        <v>24143.54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</row>
    <row r="6" ht="12.0" customHeight="1">
      <c r="A6" s="327"/>
      <c r="B6" s="335" t="s">
        <v>1391</v>
      </c>
      <c r="C6" s="337">
        <f>C5+(C5*10/100)</f>
        <v>26557.894</v>
      </c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</row>
    <row r="7" ht="12.0" customHeight="1">
      <c r="A7" s="327"/>
      <c r="B7" s="327"/>
      <c r="C7" s="328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</row>
    <row r="8" ht="12.0" customHeight="1">
      <c r="A8" s="327"/>
      <c r="B8" s="327"/>
      <c r="C8" s="328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</row>
    <row r="9" ht="12.0" customHeight="1">
      <c r="A9" s="329" t="s">
        <v>1393</v>
      </c>
      <c r="B9" s="330" t="s">
        <v>1394</v>
      </c>
      <c r="C9" s="332">
        <f>'2016'!E11-'2016'!E12</f>
        <v>10987.5</v>
      </c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</row>
    <row r="10" ht="12.0" customHeight="1">
      <c r="A10" s="329" t="s">
        <v>1393</v>
      </c>
      <c r="B10" s="330" t="s">
        <v>1395</v>
      </c>
      <c r="C10" s="332">
        <f>2880+5280</f>
        <v>8160</v>
      </c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</row>
    <row r="11" ht="12.0" customHeight="1">
      <c r="A11" s="329" t="s">
        <v>1393</v>
      </c>
      <c r="B11" s="330" t="s">
        <v>1396</v>
      </c>
      <c r="C11" s="332">
        <f>2812.42+819.8+82867.26+1594.2</f>
        <v>88093.68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</row>
    <row r="12" ht="12.0" customHeight="1">
      <c r="A12" s="329" t="s">
        <v>1393</v>
      </c>
      <c r="B12" s="330" t="s">
        <v>1397</v>
      </c>
      <c r="C12" s="332">
        <f>813.96+927</f>
        <v>1740.96</v>
      </c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</row>
    <row r="13" ht="12.0" customHeight="1">
      <c r="A13" s="329" t="s">
        <v>1393</v>
      </c>
      <c r="B13" s="330" t="s">
        <v>1401</v>
      </c>
      <c r="C13" s="332">
        <v>18740.45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</row>
    <row r="14" ht="12.0" customHeight="1">
      <c r="A14" s="329" t="s">
        <v>1393</v>
      </c>
      <c r="B14" s="330" t="s">
        <v>1402</v>
      </c>
      <c r="C14" s="332">
        <f>106431.36+6070.1</f>
        <v>112501.46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ht="12.0" customHeight="1">
      <c r="A15" s="327"/>
      <c r="B15" s="327"/>
      <c r="C15" s="328">
        <f>SUM(C9:C14)</f>
        <v>240224.05</v>
      </c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</row>
    <row r="16" ht="12.0" customHeight="1">
      <c r="A16" s="327"/>
      <c r="B16" s="335" t="s">
        <v>1391</v>
      </c>
      <c r="C16" s="337">
        <f>C15+(C15*10/100)</f>
        <v>264246.455</v>
      </c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</row>
    <row r="17" ht="12.0" customHeight="1">
      <c r="A17" s="327"/>
      <c r="B17" s="327"/>
      <c r="C17" s="328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</row>
    <row r="18" ht="12.0" customHeight="1">
      <c r="A18" s="327"/>
      <c r="B18" s="327"/>
      <c r="C18" s="328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</row>
    <row r="19" ht="12.0" customHeight="1">
      <c r="A19" s="329">
        <v>3009.0</v>
      </c>
      <c r="B19" s="330" t="s">
        <v>1410</v>
      </c>
      <c r="C19" s="332">
        <f>1692</f>
        <v>1692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</row>
    <row r="20" ht="12.0" customHeight="1">
      <c r="A20" s="329" t="s">
        <v>1411</v>
      </c>
      <c r="B20" s="330" t="s">
        <v>1412</v>
      </c>
      <c r="C20" s="332">
        <f>14646.4+39918.89</f>
        <v>54565.29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</row>
    <row r="21" ht="12.0" customHeight="1">
      <c r="A21" s="327"/>
      <c r="B21" s="327"/>
      <c r="C21" s="328">
        <f>SUM(C19:C20)</f>
        <v>56257.29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</row>
    <row r="22" ht="12.0" customHeight="1">
      <c r="A22" s="327"/>
      <c r="B22" s="335" t="s">
        <v>1391</v>
      </c>
      <c r="C22" s="337">
        <f>C21+(C21*10/100)</f>
        <v>61883.019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</row>
    <row r="23" ht="12.0" customHeight="1">
      <c r="A23" s="327"/>
      <c r="B23" s="335"/>
      <c r="C23" s="33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</row>
    <row r="24" ht="12.0" customHeight="1">
      <c r="A24" s="327"/>
      <c r="B24" s="335"/>
      <c r="C24" s="33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</row>
    <row r="25" ht="12.0" customHeight="1">
      <c r="A25" s="327"/>
      <c r="B25" s="327"/>
      <c r="C25" s="328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</row>
    <row r="26" ht="12.75" customHeight="1">
      <c r="A26" s="343" t="s">
        <v>1416</v>
      </c>
      <c r="B26" s="344" t="s">
        <v>1420</v>
      </c>
      <c r="C26" s="345">
        <v>3908.0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ht="12.75" customHeight="1">
      <c r="A27" s="346"/>
      <c r="B27" s="186"/>
      <c r="C27" s="347">
        <f>SUM(C26)</f>
        <v>3908</v>
      </c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</row>
    <row r="28" ht="12.75" customHeight="1">
      <c r="A28" s="346"/>
      <c r="B28" s="335" t="s">
        <v>1391</v>
      </c>
      <c r="C28" s="337">
        <f>C27+(C27*10/100)</f>
        <v>4298.8</v>
      </c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</row>
    <row r="29" ht="12.75" customHeight="1">
      <c r="A29" s="346"/>
      <c r="B29" s="186"/>
      <c r="C29" s="34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</row>
    <row r="30" ht="12.75" customHeight="1">
      <c r="A30" s="343" t="s">
        <v>1421</v>
      </c>
      <c r="B30" s="344" t="s">
        <v>1422</v>
      </c>
      <c r="C30" s="345">
        <v>465.0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ht="12.75" customHeight="1">
      <c r="A31" s="346"/>
      <c r="B31" s="186"/>
      <c r="C31" s="347">
        <f>SUM(C30)</f>
        <v>465</v>
      </c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</row>
    <row r="32" ht="12.75" customHeight="1">
      <c r="A32" s="346"/>
      <c r="B32" s="335" t="s">
        <v>1391</v>
      </c>
      <c r="C32" s="337">
        <f>C31+(C31*10/100)</f>
        <v>511.5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</row>
    <row r="33" ht="12.75" customHeight="1">
      <c r="A33" s="346"/>
      <c r="B33" s="186"/>
      <c r="C33" s="34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</row>
    <row r="34" ht="12.0" customHeight="1">
      <c r="A34" s="327"/>
      <c r="B34" s="327"/>
      <c r="C34" s="328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</row>
    <row r="35" ht="12.75" customHeight="1">
      <c r="A35" s="329" t="s">
        <v>1425</v>
      </c>
      <c r="B35" s="330" t="s">
        <v>1426</v>
      </c>
      <c r="C35" s="332">
        <v>48278.0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</row>
    <row r="36" ht="12.75" customHeight="1">
      <c r="A36" s="346"/>
      <c r="B36" s="186"/>
      <c r="C36" s="347">
        <f>SUM(C35)</f>
        <v>48278</v>
      </c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</row>
    <row r="37" ht="12.0" customHeight="1">
      <c r="A37" s="327"/>
      <c r="B37" s="335" t="s">
        <v>1391</v>
      </c>
      <c r="C37" s="337">
        <f>C36+(C36*10/100)</f>
        <v>53105.8</v>
      </c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</row>
    <row r="38" ht="12.0" customHeight="1">
      <c r="A38" s="327"/>
      <c r="B38" s="327"/>
      <c r="C38" s="328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</row>
    <row r="39" ht="12.0" customHeight="1">
      <c r="A39" s="327"/>
      <c r="B39" s="327"/>
      <c r="C39" s="328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</row>
    <row r="40" ht="12.0" customHeight="1">
      <c r="A40" s="329" t="s">
        <v>1434</v>
      </c>
      <c r="B40" s="330" t="s">
        <v>1435</v>
      </c>
      <c r="C40" s="332">
        <f>7302+6435+5794+4375</f>
        <v>23906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</row>
    <row r="41" ht="12.75" customHeight="1">
      <c r="A41" s="329" t="s">
        <v>1434</v>
      </c>
      <c r="B41" s="330" t="s">
        <v>1436</v>
      </c>
      <c r="C41" s="332">
        <f>3222.5+5388.75+1507.5+8738.75+24727.5</f>
        <v>43585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ht="12.75" customHeight="1">
      <c r="A42" s="343" t="s">
        <v>1434</v>
      </c>
      <c r="B42" s="330" t="s">
        <v>1437</v>
      </c>
      <c r="C42" s="345">
        <v>4349.2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ht="12.75" customHeight="1">
      <c r="A43" s="343" t="s">
        <v>1434</v>
      </c>
      <c r="B43" s="344" t="s">
        <v>1438</v>
      </c>
      <c r="C43" s="345">
        <v>7295.0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</row>
    <row r="44" ht="12.75" customHeight="1">
      <c r="A44" s="343" t="s">
        <v>1434</v>
      </c>
      <c r="B44" s="344" t="s">
        <v>1439</v>
      </c>
      <c r="C44" s="345">
        <v>30264.36</v>
      </c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</row>
    <row r="45" ht="12.0" customHeight="1">
      <c r="A45" s="327"/>
      <c r="B45" s="327"/>
      <c r="C45" s="328">
        <f>SUM(C40:C44)</f>
        <v>109399.56</v>
      </c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</row>
    <row r="46" ht="12.0" customHeight="1">
      <c r="A46" s="327"/>
      <c r="B46" s="335" t="s">
        <v>1391</v>
      </c>
      <c r="C46" s="337">
        <f>C45+(C45*10/100)</f>
        <v>120339.516</v>
      </c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</row>
    <row r="47" ht="12.75" customHeight="1">
      <c r="A47" s="327"/>
      <c r="B47" s="327"/>
      <c r="C47" s="328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ht="12.0" customHeight="1">
      <c r="A48" s="353" t="s">
        <v>1440</v>
      </c>
      <c r="B48" s="355" t="s">
        <v>1441</v>
      </c>
      <c r="C48" s="35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</row>
    <row r="49" ht="12.0" customHeight="1">
      <c r="A49" s="328"/>
      <c r="B49" s="335" t="s">
        <v>1391</v>
      </c>
      <c r="C49" s="337">
        <f>C48+(C48*10/100)</f>
        <v>0</v>
      </c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</row>
    <row r="50" ht="12.0" customHeight="1">
      <c r="A50" s="327"/>
      <c r="B50" s="327"/>
      <c r="C50" s="328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</row>
    <row r="51" ht="12.75" customHeight="1">
      <c r="A51" s="327"/>
      <c r="B51" s="335"/>
      <c r="C51" s="337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</row>
    <row r="52" ht="12.75" customHeight="1">
      <c r="A52" s="343" t="s">
        <v>1442</v>
      </c>
      <c r="B52" s="344" t="s">
        <v>1443</v>
      </c>
      <c r="C52" s="345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</row>
    <row r="53" ht="12.75" customHeight="1">
      <c r="A53" s="343" t="s">
        <v>1442</v>
      </c>
      <c r="B53" s="344" t="s">
        <v>1444</v>
      </c>
      <c r="C53" s="345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</row>
    <row r="54" ht="12.75" customHeight="1">
      <c r="A54" s="327"/>
      <c r="B54" s="335"/>
      <c r="C54" s="337">
        <f>SUM(C52:C53)</f>
        <v>0</v>
      </c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</row>
    <row r="55" ht="12.75" customHeight="1">
      <c r="A55" s="327"/>
      <c r="B55" s="335" t="s">
        <v>1391</v>
      </c>
      <c r="C55" s="337">
        <f>C54+(C54*10/100)</f>
        <v>0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</row>
    <row r="56" ht="12.75" customHeight="1">
      <c r="A56" s="327"/>
      <c r="B56" s="335"/>
      <c r="C56" s="337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</row>
    <row r="57" ht="12.75" customHeight="1">
      <c r="A57" s="327"/>
      <c r="B57" s="335"/>
      <c r="C57" s="337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</row>
    <row r="58" ht="12.75" customHeight="1">
      <c r="A58" s="343" t="s">
        <v>1445</v>
      </c>
      <c r="B58" s="344" t="s">
        <v>1446</v>
      </c>
      <c r="C58" s="345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ht="12.0" customHeight="1">
      <c r="A59" s="327"/>
      <c r="B59" s="335" t="s">
        <v>1391</v>
      </c>
      <c r="C59" s="337">
        <f>C58+(C58*10/100)</f>
        <v>0</v>
      </c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ht="12.0" customHeight="1">
      <c r="A60" s="327"/>
      <c r="B60" s="335"/>
      <c r="C60" s="33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</row>
    <row r="61" ht="12.0" customHeight="1">
      <c r="A61" s="329" t="s">
        <v>1448</v>
      </c>
      <c r="B61" s="330" t="s">
        <v>1449</v>
      </c>
      <c r="C61" s="332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</row>
    <row r="62" ht="12.0" customHeight="1">
      <c r="A62" s="329" t="s">
        <v>1448</v>
      </c>
      <c r="B62" s="330" t="s">
        <v>1449</v>
      </c>
      <c r="C62" s="332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ht="12.0" customHeight="1">
      <c r="A63" s="327"/>
      <c r="B63" s="327"/>
      <c r="C63" s="328">
        <f>SUM(C61:C62)</f>
        <v>0</v>
      </c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ht="12.0" customHeight="1">
      <c r="A64" s="327"/>
      <c r="B64" s="335" t="s">
        <v>1391</v>
      </c>
      <c r="C64" s="337">
        <f>C63+(C63*10/100)</f>
        <v>0</v>
      </c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ht="12.0" customHeight="1">
      <c r="A65" s="327"/>
      <c r="B65" s="327"/>
      <c r="C65" s="328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</row>
    <row r="66" ht="12.0" customHeight="1">
      <c r="A66" s="329" t="s">
        <v>1450</v>
      </c>
      <c r="B66" s="330" t="s">
        <v>575</v>
      </c>
      <c r="C66" s="332">
        <f>1913.26+3643.75+169.35+698.85+198340+17140+152.92+15831+4282</f>
        <v>242171.13</v>
      </c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</row>
    <row r="67" ht="12.0" customHeight="1">
      <c r="A67" s="329" t="s">
        <v>1450</v>
      </c>
      <c r="B67" s="330" t="s">
        <v>1451</v>
      </c>
      <c r="C67" s="332">
        <v>7023.5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</row>
    <row r="68" ht="12.0" customHeight="1">
      <c r="A68" s="329">
        <v>3035.0</v>
      </c>
      <c r="B68" s="330" t="s">
        <v>1452</v>
      </c>
      <c r="C68" s="332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</row>
    <row r="69" ht="12.0" customHeight="1">
      <c r="A69" s="329">
        <v>3035.0</v>
      </c>
      <c r="B69" s="330" t="s">
        <v>1453</v>
      </c>
      <c r="C69" s="332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</row>
    <row r="70" ht="12.75" customHeight="1">
      <c r="A70" s="362" t="s">
        <v>1450</v>
      </c>
      <c r="B70" s="363" t="s">
        <v>1456</v>
      </c>
      <c r="C70" s="364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</row>
    <row r="71" ht="12.75" customHeight="1">
      <c r="A71" s="343" t="s">
        <v>1450</v>
      </c>
      <c r="B71" s="344" t="s">
        <v>1451</v>
      </c>
      <c r="C71" s="345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</row>
    <row r="72" ht="12.75" customHeight="1">
      <c r="A72" s="343" t="s">
        <v>1450</v>
      </c>
      <c r="B72" s="344" t="s">
        <v>1458</v>
      </c>
      <c r="C72" s="345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</row>
    <row r="73" ht="12.75" customHeight="1">
      <c r="A73" s="343" t="s">
        <v>1450</v>
      </c>
      <c r="B73" s="344" t="s">
        <v>1459</v>
      </c>
      <c r="C73" s="345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</row>
    <row r="74" ht="12.0" customHeight="1">
      <c r="A74" s="327"/>
      <c r="B74" s="327"/>
      <c r="C74" s="328">
        <f>SUM(C66:C73)</f>
        <v>249194.63</v>
      </c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</row>
    <row r="75" ht="12.0" customHeight="1">
      <c r="A75" s="327"/>
      <c r="B75" s="335" t="s">
        <v>1391</v>
      </c>
      <c r="C75" s="337">
        <f>C74+(C74*10/100)</f>
        <v>274114.093</v>
      </c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</row>
    <row r="76" ht="12.0" customHeight="1">
      <c r="A76" s="327"/>
      <c r="B76" s="327"/>
      <c r="C76" s="328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</row>
    <row r="77" ht="12.0" customHeight="1">
      <c r="A77" s="327"/>
      <c r="B77" s="327"/>
      <c r="C77" s="328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</row>
    <row r="78" ht="12.0" customHeight="1">
      <c r="A78" s="329" t="s">
        <v>1463</v>
      </c>
      <c r="B78" s="330" t="s">
        <v>1464</v>
      </c>
      <c r="C78" s="332">
        <f>11456.5+4183+10351.99+40595.26</f>
        <v>66586.75</v>
      </c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</row>
    <row r="79" ht="12.0" customHeight="1">
      <c r="A79" s="329">
        <v>3036.0</v>
      </c>
      <c r="B79" s="330" t="s">
        <v>1468</v>
      </c>
      <c r="C79" s="332">
        <f>9500+11311+9021+560+7062.85+1170+375+50186.19+24983.42+11456.5</f>
        <v>125625.96</v>
      </c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</row>
    <row r="80" ht="12.0" customHeight="1">
      <c r="A80" s="329" t="s">
        <v>1463</v>
      </c>
      <c r="B80" s="330" t="s">
        <v>1469</v>
      </c>
      <c r="C80" s="332">
        <v>737.5</v>
      </c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</row>
    <row r="81" ht="12.0" customHeight="1">
      <c r="A81" s="329">
        <v>3036.0</v>
      </c>
      <c r="B81" s="330" t="s">
        <v>1470</v>
      </c>
      <c r="C81" s="332">
        <f>16295+820</f>
        <v>17115</v>
      </c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</row>
    <row r="82" ht="12.0" customHeight="1">
      <c r="A82" s="362">
        <v>3036.0</v>
      </c>
      <c r="B82" s="367" t="s">
        <v>1471</v>
      </c>
      <c r="C82" s="364">
        <v>5381.0</v>
      </c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</row>
    <row r="83" ht="12.0" customHeight="1">
      <c r="A83" s="329" t="s">
        <v>1463</v>
      </c>
      <c r="B83" s="330" t="s">
        <v>1475</v>
      </c>
      <c r="C83" s="332">
        <f>4158</f>
        <v>4158</v>
      </c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</row>
    <row r="84" ht="12.75" customHeight="1">
      <c r="A84" s="329" t="s">
        <v>1463</v>
      </c>
      <c r="B84" s="330" t="s">
        <v>1476</v>
      </c>
      <c r="C84" s="332">
        <f>2230+1330</f>
        <v>3560</v>
      </c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</row>
    <row r="85" ht="12.75" customHeight="1">
      <c r="A85" s="368" t="s">
        <v>1463</v>
      </c>
      <c r="B85" s="369" t="s">
        <v>1480</v>
      </c>
      <c r="C85" s="370">
        <f>9851.85+222+86.88</f>
        <v>10160.73</v>
      </c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</row>
    <row r="86" ht="12.75" customHeight="1">
      <c r="A86" s="343" t="s">
        <v>1463</v>
      </c>
      <c r="B86" s="344" t="s">
        <v>1483</v>
      </c>
      <c r="C86" s="345">
        <f>30.8+1095+9157.5</f>
        <v>10283.3</v>
      </c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</row>
    <row r="87" ht="12.75" customHeight="1">
      <c r="A87" s="343" t="s">
        <v>1463</v>
      </c>
      <c r="B87" s="372" t="s">
        <v>1484</v>
      </c>
      <c r="C87" s="345">
        <f>960+12999.72+1800+21894+129.5</f>
        <v>37783.22</v>
      </c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</row>
    <row r="88" ht="12.75" customHeight="1">
      <c r="A88" s="343" t="s">
        <v>1463</v>
      </c>
      <c r="B88" s="372" t="s">
        <v>1488</v>
      </c>
      <c r="C88" s="345">
        <f>1750+110</f>
        <v>1860</v>
      </c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</row>
    <row r="89" ht="12.75" customHeight="1">
      <c r="A89" s="343" t="s">
        <v>1463</v>
      </c>
      <c r="B89" s="372" t="s">
        <v>1490</v>
      </c>
      <c r="C89" s="345">
        <f>201485.1</f>
        <v>201485.1</v>
      </c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</row>
    <row r="90" ht="12.75" customHeight="1">
      <c r="A90" s="343" t="s">
        <v>1463</v>
      </c>
      <c r="B90" s="372" t="s">
        <v>1493</v>
      </c>
      <c r="C90" s="345">
        <v>9177.6</v>
      </c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</row>
    <row r="91" ht="12.75" customHeight="1">
      <c r="A91" s="346"/>
      <c r="B91" s="186"/>
      <c r="C91" s="347">
        <f>SUM(C78:C87)</f>
        <v>281391.46</v>
      </c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</row>
    <row r="92" ht="12.75" customHeight="1">
      <c r="A92" s="346"/>
      <c r="B92" s="335" t="s">
        <v>1391</v>
      </c>
      <c r="C92" s="337">
        <f>C91+(C91*10/100)</f>
        <v>309530.606</v>
      </c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</row>
    <row r="93" ht="12.75" customHeight="1">
      <c r="A93" s="346"/>
      <c r="B93" s="335"/>
      <c r="C93" s="337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</row>
    <row r="94" ht="12.0" customHeight="1">
      <c r="A94" s="329" t="s">
        <v>1494</v>
      </c>
      <c r="B94" s="330" t="s">
        <v>1495</v>
      </c>
      <c r="C94" s="332">
        <v>1158822.4</v>
      </c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</row>
    <row r="95" ht="12.0" customHeight="1">
      <c r="A95" s="327"/>
      <c r="B95" s="335" t="s">
        <v>1391</v>
      </c>
      <c r="C95" s="337">
        <f>C94+(C94*10/100)</f>
        <v>1274704.64</v>
      </c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</row>
    <row r="96" ht="12.0" customHeight="1">
      <c r="A96" s="327"/>
      <c r="B96" s="335"/>
      <c r="C96" s="337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</row>
    <row r="97" ht="12.0" customHeight="1">
      <c r="A97" s="327"/>
      <c r="B97" s="335"/>
      <c r="C97" s="337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</row>
    <row r="98" ht="12.0" customHeight="1">
      <c r="A98" s="327"/>
      <c r="B98" s="335"/>
      <c r="C98" s="337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</row>
    <row r="99" ht="12.0" customHeight="1">
      <c r="A99" s="329" t="s">
        <v>1496</v>
      </c>
      <c r="B99" s="330" t="s">
        <v>1497</v>
      </c>
      <c r="C99" s="332">
        <v>3181.0</v>
      </c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</row>
    <row r="100" ht="12.75" customHeight="1">
      <c r="A100" s="328"/>
      <c r="B100" s="327"/>
      <c r="C100" s="347">
        <f>SUM(C99)</f>
        <v>3181</v>
      </c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</row>
    <row r="101" ht="12.0" customHeight="1">
      <c r="A101" s="328"/>
      <c r="B101" s="335" t="s">
        <v>1391</v>
      </c>
      <c r="C101" s="337">
        <f>C100+(C100*10/100)</f>
        <v>3499.1</v>
      </c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7"/>
    </row>
    <row r="102" ht="12.0" customHeight="1">
      <c r="A102" s="328"/>
      <c r="B102" s="327"/>
      <c r="C102" s="328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</row>
    <row r="103" ht="12.0" customHeight="1">
      <c r="A103" s="328"/>
      <c r="B103" s="327"/>
      <c r="C103" s="328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27"/>
      <c r="Q103" s="327"/>
      <c r="R103" s="327"/>
      <c r="S103" s="327"/>
      <c r="T103" s="327"/>
      <c r="U103" s="327"/>
      <c r="V103" s="327"/>
      <c r="W103" s="327"/>
      <c r="X103" s="327"/>
      <c r="Y103" s="327"/>
      <c r="Z103" s="327"/>
    </row>
    <row r="104" ht="12.0" customHeight="1">
      <c r="A104" s="328"/>
      <c r="B104" s="327"/>
      <c r="C104" s="328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</row>
    <row r="105" ht="12.0" customHeight="1">
      <c r="A105" s="328"/>
      <c r="B105" s="327"/>
      <c r="C105" s="328"/>
      <c r="D105" s="327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</row>
    <row r="106" ht="12.0" customHeight="1">
      <c r="A106" s="329" t="s">
        <v>1506</v>
      </c>
      <c r="B106" s="330" t="s">
        <v>1508</v>
      </c>
      <c r="C106" s="332">
        <f>'2016'!E97-'2016'!E98</f>
        <v>3700</v>
      </c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</row>
    <row r="107" ht="12.0" customHeight="1">
      <c r="A107" s="328"/>
      <c r="B107" s="327"/>
      <c r="C107" s="328">
        <f>SUM(C106)</f>
        <v>3700</v>
      </c>
      <c r="D107" s="327"/>
      <c r="E107" s="327"/>
      <c r="F107" s="327"/>
      <c r="G107" s="327"/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  <c r="U107" s="327"/>
      <c r="V107" s="327"/>
      <c r="W107" s="327"/>
      <c r="X107" s="327"/>
      <c r="Y107" s="327"/>
      <c r="Z107" s="327"/>
    </row>
    <row r="108" ht="12.0" customHeight="1">
      <c r="A108" s="328"/>
      <c r="B108" s="335" t="s">
        <v>1391</v>
      </c>
      <c r="C108" s="337">
        <f>C107+(C107*10/100)</f>
        <v>4070</v>
      </c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  <c r="Z108" s="327"/>
    </row>
    <row r="109" ht="12.0" customHeight="1">
      <c r="A109" s="328"/>
      <c r="B109" s="335"/>
      <c r="C109" s="337"/>
      <c r="D109" s="327"/>
      <c r="E109" s="327"/>
      <c r="F109" s="327"/>
      <c r="G109" s="327"/>
      <c r="H109" s="327"/>
      <c r="I109" s="327"/>
      <c r="J109" s="327"/>
      <c r="K109" s="327"/>
      <c r="L109" s="327"/>
      <c r="M109" s="327"/>
      <c r="N109" s="327"/>
      <c r="O109" s="327"/>
      <c r="P109" s="327"/>
      <c r="Q109" s="327"/>
      <c r="R109" s="327"/>
      <c r="S109" s="327"/>
      <c r="T109" s="327"/>
      <c r="U109" s="327"/>
      <c r="V109" s="327"/>
      <c r="W109" s="327"/>
      <c r="X109" s="327"/>
      <c r="Y109" s="327"/>
      <c r="Z109" s="327"/>
    </row>
    <row r="110" ht="12.0" customHeight="1">
      <c r="A110" s="382" t="s">
        <v>4</v>
      </c>
      <c r="B110" s="383" t="s">
        <v>1516</v>
      </c>
      <c r="C110" s="384" t="s">
        <v>1517</v>
      </c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</row>
    <row r="111" ht="12.0" customHeight="1">
      <c r="A111" s="329" t="s">
        <v>1521</v>
      </c>
      <c r="B111" s="330" t="s">
        <v>1522</v>
      </c>
      <c r="C111" s="332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</row>
    <row r="112" ht="12.0" customHeight="1">
      <c r="A112" s="329" t="s">
        <v>1521</v>
      </c>
      <c r="B112" s="330" t="s">
        <v>900</v>
      </c>
      <c r="C112" s="332">
        <v>18329.1</v>
      </c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</row>
    <row r="113" ht="12.0" customHeight="1">
      <c r="A113" s="329" t="s">
        <v>1521</v>
      </c>
      <c r="B113" s="330" t="s">
        <v>1523</v>
      </c>
      <c r="C113" s="332">
        <v>91884.96</v>
      </c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</row>
    <row r="114" ht="12.0" customHeight="1">
      <c r="A114" s="329" t="s">
        <v>1521</v>
      </c>
      <c r="B114" s="330" t="s">
        <v>1526</v>
      </c>
      <c r="C114" s="332">
        <v>28666.69</v>
      </c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</row>
    <row r="115" ht="12.0" customHeight="1">
      <c r="A115" s="329" t="s">
        <v>1521</v>
      </c>
      <c r="B115" s="330" t="s">
        <v>1529</v>
      </c>
      <c r="C115" s="332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4"/>
      <c r="Y115" s="334"/>
      <c r="Z115" s="334"/>
    </row>
    <row r="116" ht="12.0" customHeight="1">
      <c r="A116" s="329" t="s">
        <v>1521</v>
      </c>
      <c r="B116" s="386" t="s">
        <v>1530</v>
      </c>
      <c r="C116" s="332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</row>
    <row r="117" ht="12.0" customHeight="1">
      <c r="A117" s="329" t="s">
        <v>1521</v>
      </c>
      <c r="B117" s="330" t="s">
        <v>928</v>
      </c>
      <c r="C117" s="332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</row>
    <row r="118" ht="12.0" customHeight="1">
      <c r="A118" s="329" t="s">
        <v>1521</v>
      </c>
      <c r="B118" s="330" t="s">
        <v>934</v>
      </c>
      <c r="C118" s="332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</row>
    <row r="119" ht="12.0" customHeight="1">
      <c r="A119" s="327"/>
      <c r="B119" s="327"/>
      <c r="C119" s="328">
        <f>SUM(C111:C118)</f>
        <v>138880.75</v>
      </c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</row>
    <row r="120" ht="12.0" customHeight="1">
      <c r="A120" s="327"/>
      <c r="B120" s="335" t="s">
        <v>1391</v>
      </c>
      <c r="C120" s="337">
        <f>C119+(C119*10/100)</f>
        <v>152768.825</v>
      </c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</row>
    <row r="121" ht="12.0" customHeight="1">
      <c r="A121" s="328"/>
      <c r="B121" s="327"/>
      <c r="C121" s="328"/>
      <c r="D121" s="335">
        <v>2015.0</v>
      </c>
      <c r="E121" s="335">
        <v>2014.0</v>
      </c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34"/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</row>
    <row r="122" ht="12.0" customHeight="1">
      <c r="A122" s="329" t="s">
        <v>1537</v>
      </c>
      <c r="B122" s="388" t="s">
        <v>1538</v>
      </c>
      <c r="C122" s="389">
        <v>131291.0</v>
      </c>
      <c r="D122" s="389">
        <v>137970.0</v>
      </c>
      <c r="E122" s="389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</row>
    <row r="123" ht="12.0" customHeight="1">
      <c r="A123" s="329" t="s">
        <v>1537</v>
      </c>
      <c r="B123" s="388" t="s">
        <v>1541</v>
      </c>
      <c r="C123" s="389"/>
      <c r="D123" s="389">
        <v>78687.0</v>
      </c>
      <c r="E123" s="389">
        <v>14091.0</v>
      </c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27"/>
      <c r="Q123" s="327"/>
      <c r="R123" s="327"/>
      <c r="S123" s="327"/>
      <c r="T123" s="327"/>
      <c r="U123" s="327"/>
      <c r="V123" s="327"/>
      <c r="W123" s="327"/>
      <c r="X123" s="327"/>
      <c r="Y123" s="327"/>
      <c r="Z123" s="327"/>
    </row>
    <row r="124" ht="12.0" customHeight="1">
      <c r="A124" s="329" t="s">
        <v>1537</v>
      </c>
      <c r="B124" s="388" t="s">
        <v>1542</v>
      </c>
      <c r="C124" s="389"/>
      <c r="D124" s="389">
        <f>420+5796</f>
        <v>6216</v>
      </c>
      <c r="E124" s="389">
        <f>2898+336</f>
        <v>3234</v>
      </c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</row>
    <row r="125" ht="12.0" customHeight="1">
      <c r="A125" s="329" t="s">
        <v>1537</v>
      </c>
      <c r="B125" s="394" t="s">
        <v>1543</v>
      </c>
      <c r="C125" s="389">
        <v>13935.6</v>
      </c>
      <c r="D125" s="389">
        <v>506.34</v>
      </c>
      <c r="E125" s="389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  <c r="Z125" s="327"/>
    </row>
    <row r="126" ht="12.0" customHeight="1">
      <c r="A126" s="329" t="s">
        <v>1537</v>
      </c>
      <c r="B126" s="394" t="s">
        <v>1547</v>
      </c>
      <c r="C126" s="389"/>
      <c r="D126" s="389">
        <v>12830.76</v>
      </c>
      <c r="E126" s="389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27"/>
      <c r="Q126" s="327"/>
      <c r="R126" s="327"/>
      <c r="S126" s="327"/>
      <c r="T126" s="327"/>
      <c r="U126" s="327"/>
      <c r="V126" s="327"/>
      <c r="W126" s="327"/>
      <c r="X126" s="327"/>
      <c r="Y126" s="327"/>
      <c r="Z126" s="327"/>
    </row>
    <row r="127" ht="12.0" customHeight="1">
      <c r="A127" s="329" t="s">
        <v>1537</v>
      </c>
      <c r="B127" s="394" t="s">
        <v>1548</v>
      </c>
      <c r="C127" s="389"/>
      <c r="D127" s="389"/>
      <c r="E127" s="389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</row>
    <row r="128" ht="12.0" customHeight="1">
      <c r="A128" s="329" t="s">
        <v>1537</v>
      </c>
      <c r="B128" s="394" t="s">
        <v>1551</v>
      </c>
      <c r="C128" s="389"/>
      <c r="D128" s="389">
        <v>12324.18</v>
      </c>
      <c r="E128" s="389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</row>
    <row r="129" ht="12.0" customHeight="1">
      <c r="A129" s="329" t="s">
        <v>1537</v>
      </c>
      <c r="B129" s="394" t="s">
        <v>1553</v>
      </c>
      <c r="C129" s="389"/>
      <c r="D129" s="389">
        <f>1161.12+2625.32</f>
        <v>3786.44</v>
      </c>
      <c r="E129" s="389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</row>
    <row r="130" ht="12.0" customHeight="1">
      <c r="A130" s="329" t="s">
        <v>1537</v>
      </c>
      <c r="B130" s="394" t="s">
        <v>1554</v>
      </c>
      <c r="C130" s="389"/>
      <c r="D130" s="389"/>
      <c r="E130" s="389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</row>
    <row r="131" ht="12.0" customHeight="1">
      <c r="A131" s="329" t="s">
        <v>1537</v>
      </c>
      <c r="B131" s="394" t="s">
        <v>1555</v>
      </c>
      <c r="C131" s="389"/>
      <c r="D131" s="389">
        <f>34860.23+8770.42</f>
        <v>43630.65</v>
      </c>
      <c r="E131" s="389">
        <v>18993.76</v>
      </c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</row>
    <row r="132" ht="12.0" customHeight="1">
      <c r="A132" s="329" t="s">
        <v>1537</v>
      </c>
      <c r="B132" s="394" t="s">
        <v>1557</v>
      </c>
      <c r="C132" s="389"/>
      <c r="D132" s="389"/>
      <c r="E132" s="389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</row>
    <row r="133" ht="12.0" customHeight="1">
      <c r="A133" s="329" t="s">
        <v>1537</v>
      </c>
      <c r="B133" s="394" t="s">
        <v>1558</v>
      </c>
      <c r="C133" s="389"/>
      <c r="D133" s="389"/>
      <c r="E133" s="389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</row>
    <row r="134" ht="12.0" customHeight="1">
      <c r="A134" s="329" t="s">
        <v>1537</v>
      </c>
      <c r="B134" s="394" t="s">
        <v>1559</v>
      </c>
      <c r="C134" s="389">
        <v>30871.0</v>
      </c>
      <c r="D134" s="389">
        <v>2276.0</v>
      </c>
      <c r="E134" s="389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</row>
    <row r="135" ht="12.0" customHeight="1">
      <c r="A135" s="329" t="s">
        <v>1537</v>
      </c>
      <c r="B135" s="394" t="s">
        <v>1560</v>
      </c>
      <c r="C135" s="389"/>
      <c r="D135" s="389"/>
      <c r="E135" s="389">
        <v>17830.0</v>
      </c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</row>
    <row r="136" ht="12.0" customHeight="1">
      <c r="A136" s="329" t="s">
        <v>1537</v>
      </c>
      <c r="B136" s="388" t="s">
        <v>1467</v>
      </c>
      <c r="C136" s="389">
        <v>1098003.85</v>
      </c>
      <c r="D136" s="389">
        <v>92360.0</v>
      </c>
      <c r="E136" s="389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</row>
    <row r="137" ht="12.0" customHeight="1">
      <c r="A137" s="329" t="s">
        <v>1537</v>
      </c>
      <c r="B137" s="388" t="s">
        <v>1561</v>
      </c>
      <c r="C137" s="389">
        <v>131718.22</v>
      </c>
      <c r="D137" s="389"/>
      <c r="E137" s="389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</row>
    <row r="138" ht="12.0" customHeight="1">
      <c r="A138" s="329" t="s">
        <v>1537</v>
      </c>
      <c r="B138" s="388" t="s">
        <v>1562</v>
      </c>
      <c r="C138" s="389">
        <f>235197.52</f>
        <v>235197.52</v>
      </c>
      <c r="D138" s="389">
        <v>6840.25</v>
      </c>
      <c r="E138" s="389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</row>
    <row r="139" ht="12.0" customHeight="1">
      <c r="A139" s="329" t="s">
        <v>1537</v>
      </c>
      <c r="B139" s="388" t="s">
        <v>1563</v>
      </c>
      <c r="C139" s="389"/>
      <c r="D139" s="389">
        <f>248735.2+772+1192</f>
        <v>250699.2</v>
      </c>
      <c r="E139" s="389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</row>
    <row r="140" ht="12.0" customHeight="1">
      <c r="A140" s="329" t="s">
        <v>1537</v>
      </c>
      <c r="B140" s="388" t="s">
        <v>1564</v>
      </c>
      <c r="C140" s="389">
        <v>4757.19</v>
      </c>
      <c r="D140" s="389">
        <v>4265.88</v>
      </c>
      <c r="E140" s="389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</row>
    <row r="141" ht="12.0" customHeight="1">
      <c r="A141" s="329" t="s">
        <v>1537</v>
      </c>
      <c r="B141" s="388" t="s">
        <v>1565</v>
      </c>
      <c r="C141" s="389">
        <v>236475.74</v>
      </c>
      <c r="D141" s="389">
        <v>5448.02</v>
      </c>
      <c r="E141" s="389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</row>
    <row r="142" ht="12.0" customHeight="1">
      <c r="A142" s="329" t="s">
        <v>1537</v>
      </c>
      <c r="B142" s="388" t="s">
        <v>1566</v>
      </c>
      <c r="C142" s="389"/>
      <c r="D142" s="389">
        <v>5690.39</v>
      </c>
      <c r="E142" s="389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</row>
    <row r="143" ht="12.0" customHeight="1">
      <c r="A143" s="329" t="s">
        <v>1537</v>
      </c>
      <c r="B143" s="388" t="s">
        <v>1567</v>
      </c>
      <c r="C143" s="389"/>
      <c r="D143" s="389">
        <v>14957.41</v>
      </c>
      <c r="E143" s="389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</row>
    <row r="144" ht="12.0" customHeight="1">
      <c r="A144" s="329" t="s">
        <v>1537</v>
      </c>
      <c r="B144" s="388" t="s">
        <v>1568</v>
      </c>
      <c r="C144" s="389"/>
      <c r="D144" s="389">
        <v>5071.5</v>
      </c>
      <c r="E144" s="389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</row>
    <row r="145" ht="12.0" customHeight="1">
      <c r="A145" s="329" t="s">
        <v>1537</v>
      </c>
      <c r="B145" s="388" t="s">
        <v>1570</v>
      </c>
      <c r="C145" s="389"/>
      <c r="D145" s="389">
        <f>10825.57+10523.37+16113.55</f>
        <v>37462.49</v>
      </c>
      <c r="E145" s="389">
        <f>4830.14+518.83+11592.16</f>
        <v>16941.13</v>
      </c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</row>
    <row r="146" ht="12.0" customHeight="1">
      <c r="A146" s="329" t="s">
        <v>1537</v>
      </c>
      <c r="B146" s="388" t="s">
        <v>1575</v>
      </c>
      <c r="C146" s="389">
        <f>139925.67+85371.51+7293.08</f>
        <v>232590.26</v>
      </c>
      <c r="D146" s="389">
        <f>7613.35+88128.6</f>
        <v>95741.95</v>
      </c>
      <c r="E146" s="389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</row>
    <row r="147" ht="12.0" customHeight="1">
      <c r="A147" s="329" t="s">
        <v>1537</v>
      </c>
      <c r="B147" s="388" t="s">
        <v>1579</v>
      </c>
      <c r="C147" s="389">
        <v>22500.0</v>
      </c>
      <c r="D147" s="389">
        <v>12729.32</v>
      </c>
      <c r="E147" s="389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</row>
    <row r="148" ht="12.0" customHeight="1">
      <c r="A148" s="329" t="s">
        <v>1537</v>
      </c>
      <c r="B148" s="388" t="s">
        <v>1583</v>
      </c>
      <c r="C148" s="389">
        <v>170290.38</v>
      </c>
      <c r="D148" s="389">
        <v>206509.62</v>
      </c>
      <c r="E148" s="389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</row>
    <row r="149" ht="12.0" customHeight="1">
      <c r="A149" s="329" t="s">
        <v>1537</v>
      </c>
      <c r="B149" s="388" t="s">
        <v>1584</v>
      </c>
      <c r="C149" s="396">
        <f>211872+69200+247247+4800</f>
        <v>533119</v>
      </c>
      <c r="D149" s="396">
        <f>400+2200</f>
        <v>2600</v>
      </c>
      <c r="E149" s="396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</row>
    <row r="150" ht="12.0" customHeight="1">
      <c r="A150" s="329" t="s">
        <v>1537</v>
      </c>
      <c r="B150" s="394" t="s">
        <v>1593</v>
      </c>
      <c r="C150" s="396">
        <v>396394.22</v>
      </c>
      <c r="D150" s="396"/>
      <c r="E150" s="396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</row>
    <row r="151" ht="12.0" customHeight="1">
      <c r="A151" s="329" t="s">
        <v>1537</v>
      </c>
      <c r="B151" s="394" t="s">
        <v>1594</v>
      </c>
      <c r="C151" s="396"/>
      <c r="D151" s="396">
        <f>72286.71+97931.16</f>
        <v>170217.87</v>
      </c>
      <c r="E151" s="396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</row>
    <row r="152" ht="12.0" customHeight="1">
      <c r="A152" s="329" t="s">
        <v>1537</v>
      </c>
      <c r="B152" s="388" t="s">
        <v>1597</v>
      </c>
      <c r="C152" s="389">
        <f>67716.62+57801.69</f>
        <v>125518.31</v>
      </c>
      <c r="D152" s="389">
        <v>1500.7</v>
      </c>
      <c r="E152" s="389">
        <v>18675.86</v>
      </c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</row>
    <row r="153" ht="12.0" customHeight="1">
      <c r="A153" s="329" t="s">
        <v>1537</v>
      </c>
      <c r="B153" s="388" t="s">
        <v>1602</v>
      </c>
      <c r="C153" s="389">
        <v>80142.65</v>
      </c>
      <c r="D153" s="389">
        <v>153265.01</v>
      </c>
      <c r="E153" s="389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</row>
    <row r="154" ht="12.0" customHeight="1">
      <c r="A154" s="329" t="s">
        <v>1537</v>
      </c>
      <c r="B154" s="388" t="s">
        <v>705</v>
      </c>
      <c r="C154" s="389">
        <v>75996.42</v>
      </c>
      <c r="D154" s="389"/>
      <c r="E154" s="389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</row>
    <row r="155" ht="12.0" customHeight="1">
      <c r="A155" s="329" t="s">
        <v>1537</v>
      </c>
      <c r="B155" s="388" t="s">
        <v>707</v>
      </c>
      <c r="C155" s="389"/>
      <c r="D155" s="389"/>
      <c r="E155" s="389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</row>
    <row r="156" ht="12.0" customHeight="1">
      <c r="A156" s="329" t="s">
        <v>1537</v>
      </c>
      <c r="B156" s="388" t="s">
        <v>1604</v>
      </c>
      <c r="C156" s="389">
        <v>211011.83</v>
      </c>
      <c r="D156" s="389"/>
      <c r="E156" s="389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</row>
    <row r="157" ht="12.0" customHeight="1">
      <c r="A157" s="329" t="s">
        <v>1537</v>
      </c>
      <c r="B157" s="388" t="s">
        <v>1605</v>
      </c>
      <c r="C157" s="389"/>
      <c r="D157" s="389"/>
      <c r="E157" s="389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</row>
    <row r="158" ht="12.0" customHeight="1">
      <c r="A158" s="329" t="s">
        <v>1537</v>
      </c>
      <c r="B158" s="394" t="s">
        <v>1606</v>
      </c>
      <c r="C158" s="389"/>
      <c r="D158" s="389"/>
      <c r="E158" s="389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34"/>
      <c r="W158" s="334"/>
      <c r="X158" s="334"/>
      <c r="Y158" s="334"/>
      <c r="Z158" s="334"/>
    </row>
    <row r="159" ht="12.0" customHeight="1">
      <c r="A159" s="329" t="s">
        <v>1537</v>
      </c>
      <c r="B159" s="394" t="s">
        <v>950</v>
      </c>
      <c r="C159" s="389">
        <v>38398.0</v>
      </c>
      <c r="D159" s="389"/>
      <c r="E159" s="389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</row>
    <row r="160" ht="12.0" customHeight="1">
      <c r="A160" s="329" t="s">
        <v>1537</v>
      </c>
      <c r="B160" s="394" t="s">
        <v>1607</v>
      </c>
      <c r="C160" s="389">
        <v>24487.05</v>
      </c>
      <c r="D160" s="389">
        <v>5594.4</v>
      </c>
      <c r="E160" s="389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</row>
    <row r="161" ht="12.0" customHeight="1">
      <c r="A161" s="329" t="s">
        <v>1537</v>
      </c>
      <c r="B161" s="394" t="s">
        <v>1608</v>
      </c>
      <c r="C161" s="389">
        <v>60457.96</v>
      </c>
      <c r="D161" s="389"/>
      <c r="E161" s="389">
        <v>29631.57</v>
      </c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</row>
    <row r="162" ht="12.0" customHeight="1">
      <c r="A162" s="327"/>
      <c r="B162" s="327"/>
      <c r="C162" s="328">
        <f t="shared" ref="C162:E162" si="1">SUM(C127:C158)</f>
        <v>3584586.59</v>
      </c>
      <c r="D162" s="328">
        <f t="shared" si="1"/>
        <v>1127376.88</v>
      </c>
      <c r="E162" s="328">
        <f t="shared" si="1"/>
        <v>72440.75</v>
      </c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</row>
    <row r="163" ht="12.0" customHeight="1">
      <c r="A163" s="327"/>
      <c r="B163" s="335" t="s">
        <v>1391</v>
      </c>
      <c r="C163" s="337">
        <f t="shared" ref="C163:E163" si="2">C162+(C162*10/100)</f>
        <v>3943045.249</v>
      </c>
      <c r="D163" s="337">
        <f t="shared" si="2"/>
        <v>1240114.568</v>
      </c>
      <c r="E163" s="337">
        <f t="shared" si="2"/>
        <v>79684.825</v>
      </c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</row>
    <row r="164" ht="12.0" customHeight="1">
      <c r="A164" s="327"/>
      <c r="B164" s="327"/>
      <c r="C164" s="328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</row>
    <row r="165" ht="12.0" customHeight="1">
      <c r="A165" s="327"/>
      <c r="B165" s="327"/>
      <c r="C165" s="328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</row>
    <row r="166" ht="12.0" customHeight="1">
      <c r="A166" s="329" t="s">
        <v>1611</v>
      </c>
      <c r="B166" s="330" t="s">
        <v>1612</v>
      </c>
      <c r="C166" s="332">
        <v>724.0</v>
      </c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</row>
    <row r="167" ht="12.0" customHeight="1">
      <c r="A167" s="327"/>
      <c r="B167" s="335" t="s">
        <v>1391</v>
      </c>
      <c r="C167" s="337">
        <f>C166+(C166*10/100)</f>
        <v>796.4</v>
      </c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</row>
    <row r="168" ht="12.0" customHeight="1">
      <c r="A168" s="327"/>
      <c r="B168" s="335"/>
      <c r="C168" s="33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</row>
    <row r="169" ht="12.0" customHeight="1">
      <c r="A169" s="327"/>
      <c r="B169" s="327"/>
      <c r="C169" s="328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</row>
    <row r="170" ht="12.0" customHeight="1">
      <c r="A170" s="329" t="s">
        <v>1613</v>
      </c>
      <c r="B170" s="409" t="s">
        <v>941</v>
      </c>
      <c r="C170" s="332">
        <v>5526.4</v>
      </c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</row>
    <row r="171" ht="12.0" customHeight="1">
      <c r="A171" s="329" t="s">
        <v>1613</v>
      </c>
      <c r="B171" s="330" t="s">
        <v>1615</v>
      </c>
      <c r="C171" s="332">
        <v>48400.0</v>
      </c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</row>
    <row r="172" ht="12.0" customHeight="1">
      <c r="A172" s="327"/>
      <c r="B172" s="335"/>
      <c r="C172" s="337">
        <f>SUM(C170:C171)</f>
        <v>53926.4</v>
      </c>
      <c r="D172" s="327"/>
      <c r="E172" s="327"/>
      <c r="F172" s="327"/>
      <c r="G172" s="327"/>
      <c r="H172" s="327"/>
      <c r="I172" s="327"/>
      <c r="J172" s="327"/>
      <c r="K172" s="327"/>
      <c r="L172" s="327"/>
      <c r="M172" s="327"/>
      <c r="N172" s="327"/>
      <c r="O172" s="327"/>
      <c r="P172" s="327"/>
      <c r="Q172" s="327"/>
      <c r="R172" s="327"/>
      <c r="S172" s="327"/>
      <c r="T172" s="327"/>
      <c r="U172" s="327"/>
      <c r="V172" s="327"/>
      <c r="W172" s="327"/>
      <c r="X172" s="327"/>
      <c r="Y172" s="327"/>
      <c r="Z172" s="327"/>
    </row>
    <row r="173" ht="12.0" customHeight="1">
      <c r="A173" s="327"/>
      <c r="B173" s="335" t="s">
        <v>1391</v>
      </c>
      <c r="C173" s="337">
        <f>C172+(C172*10/100)</f>
        <v>59319.04</v>
      </c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/>
      <c r="U173" s="327"/>
      <c r="V173" s="327"/>
      <c r="W173" s="327"/>
      <c r="X173" s="327"/>
      <c r="Y173" s="327"/>
      <c r="Z173" s="327"/>
    </row>
    <row r="174" ht="12.0" customHeight="1">
      <c r="A174" s="327"/>
      <c r="B174" s="327"/>
      <c r="C174" s="328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</row>
    <row r="175" ht="12.0" customHeight="1">
      <c r="A175" s="327"/>
      <c r="B175" s="327"/>
      <c r="C175" s="328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  <c r="T175" s="327"/>
      <c r="U175" s="327"/>
      <c r="V175" s="327"/>
      <c r="W175" s="327"/>
      <c r="X175" s="327"/>
      <c r="Y175" s="327"/>
      <c r="Z175" s="327"/>
    </row>
    <row r="176" ht="12.0" customHeight="1">
      <c r="A176" s="329" t="s">
        <v>1616</v>
      </c>
      <c r="B176" s="330" t="s">
        <v>1617</v>
      </c>
      <c r="C176" s="332"/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  <c r="R176" s="327"/>
      <c r="S176" s="327"/>
      <c r="T176" s="327"/>
      <c r="U176" s="327"/>
      <c r="V176" s="327"/>
      <c r="W176" s="327"/>
      <c r="X176" s="327"/>
      <c r="Y176" s="327"/>
      <c r="Z176" s="327"/>
    </row>
    <row r="177" ht="12.75" customHeight="1">
      <c r="A177" s="343" t="s">
        <v>1616</v>
      </c>
      <c r="B177" s="344" t="s">
        <v>919</v>
      </c>
      <c r="C177" s="345">
        <v>850.0</v>
      </c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</row>
    <row r="178" ht="12.0" customHeight="1">
      <c r="A178" s="329">
        <v>3978.0</v>
      </c>
      <c r="B178" s="330" t="s">
        <v>1618</v>
      </c>
      <c r="C178" s="332">
        <v>32397.51</v>
      </c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</row>
    <row r="179" ht="12.0" customHeight="1">
      <c r="A179" s="327"/>
      <c r="B179" s="327"/>
      <c r="C179" s="328">
        <f>SUM(C176:C178)</f>
        <v>33247.51</v>
      </c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</row>
    <row r="180" ht="12.0" customHeight="1">
      <c r="A180" s="327"/>
      <c r="B180" s="335" t="s">
        <v>1391</v>
      </c>
      <c r="C180" s="337">
        <f>C179+(C179*10/100)</f>
        <v>36572.261</v>
      </c>
      <c r="D180" s="327"/>
      <c r="E180" s="327"/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</row>
    <row r="181" ht="12.0" customHeight="1">
      <c r="A181" s="413"/>
      <c r="B181" s="413"/>
      <c r="C181" s="414"/>
      <c r="D181" s="413"/>
      <c r="E181" s="413"/>
      <c r="F181" s="413"/>
      <c r="G181" s="413"/>
      <c r="H181" s="413"/>
      <c r="I181" s="413"/>
      <c r="J181" s="413"/>
      <c r="K181" s="413"/>
      <c r="L181" s="413"/>
      <c r="M181" s="413"/>
      <c r="N181" s="413"/>
      <c r="O181" s="413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</row>
    <row r="182" ht="12.0" customHeight="1">
      <c r="A182" s="413"/>
      <c r="B182" s="413"/>
      <c r="C182" s="414"/>
      <c r="D182" s="413"/>
      <c r="E182" s="413"/>
      <c r="F182" s="413"/>
      <c r="G182" s="413"/>
      <c r="H182" s="413"/>
      <c r="I182" s="413"/>
      <c r="J182" s="413"/>
      <c r="K182" s="413"/>
      <c r="L182" s="413"/>
      <c r="M182" s="413"/>
      <c r="N182" s="413"/>
      <c r="O182" s="413"/>
      <c r="P182" s="413"/>
      <c r="Q182" s="413"/>
      <c r="R182" s="413"/>
      <c r="S182" s="413"/>
      <c r="T182" s="413"/>
      <c r="U182" s="413"/>
      <c r="V182" s="413"/>
      <c r="W182" s="413"/>
      <c r="X182" s="413"/>
      <c r="Y182" s="413"/>
      <c r="Z182" s="413"/>
    </row>
    <row r="183" ht="12.0" customHeight="1">
      <c r="A183" s="413"/>
      <c r="B183" s="413" t="s">
        <v>1620</v>
      </c>
      <c r="C183" s="415">
        <f>C5+C15+C21+C27+C31+C36+C45+C74+C91+C94+C99+C106+C119+C162+C166+C172+C179</f>
        <v>5990330.18</v>
      </c>
      <c r="D183" s="413"/>
      <c r="E183" s="413"/>
      <c r="F183" s="413"/>
      <c r="G183" s="413"/>
      <c r="H183" s="413"/>
      <c r="I183" s="413"/>
      <c r="J183" s="413"/>
      <c r="K183" s="413"/>
      <c r="L183" s="413"/>
      <c r="M183" s="413"/>
      <c r="N183" s="413"/>
      <c r="O183" s="413"/>
      <c r="P183" s="413"/>
      <c r="Q183" s="413"/>
      <c r="R183" s="413"/>
      <c r="S183" s="413"/>
      <c r="T183" s="413"/>
      <c r="U183" s="413"/>
      <c r="V183" s="413"/>
      <c r="W183" s="413"/>
      <c r="X183" s="413"/>
      <c r="Y183" s="413"/>
      <c r="Z183" s="413"/>
    </row>
    <row r="184" ht="12.0" customHeight="1">
      <c r="A184" s="413"/>
      <c r="B184" s="335" t="s">
        <v>1391</v>
      </c>
      <c r="C184" s="337">
        <f>C183+(C183*10/100)</f>
        <v>6589363.198</v>
      </c>
      <c r="D184" s="413"/>
      <c r="E184" s="413"/>
      <c r="F184" s="413"/>
      <c r="G184" s="413"/>
      <c r="H184" s="413"/>
      <c r="I184" s="413"/>
      <c r="J184" s="413"/>
      <c r="K184" s="413"/>
      <c r="L184" s="413"/>
      <c r="M184" s="413"/>
      <c r="N184" s="413"/>
      <c r="O184" s="413"/>
      <c r="P184" s="413"/>
      <c r="Q184" s="413"/>
      <c r="R184" s="413"/>
      <c r="S184" s="413"/>
      <c r="T184" s="413"/>
      <c r="U184" s="413"/>
      <c r="V184" s="413"/>
      <c r="W184" s="413"/>
      <c r="X184" s="413"/>
      <c r="Y184" s="413"/>
      <c r="Z184" s="413"/>
    </row>
    <row r="185" ht="12.0" customHeight="1">
      <c r="A185" s="413"/>
      <c r="B185" s="413"/>
      <c r="C185" s="414"/>
      <c r="D185" s="413"/>
      <c r="E185" s="413"/>
      <c r="F185" s="413"/>
      <c r="G185" s="413"/>
      <c r="H185" s="413"/>
      <c r="I185" s="413"/>
      <c r="J185" s="413"/>
      <c r="K185" s="413"/>
      <c r="L185" s="413"/>
      <c r="M185" s="413"/>
      <c r="N185" s="413"/>
      <c r="O185" s="413"/>
      <c r="P185" s="413"/>
      <c r="Q185" s="413"/>
      <c r="R185" s="413"/>
      <c r="S185" s="413"/>
      <c r="T185" s="413"/>
      <c r="U185" s="413"/>
      <c r="V185" s="413"/>
      <c r="W185" s="413"/>
      <c r="X185" s="413"/>
      <c r="Y185" s="413"/>
      <c r="Z185" s="413"/>
    </row>
    <row r="186" ht="12.0" customHeight="1">
      <c r="A186" s="413"/>
      <c r="B186" s="413"/>
      <c r="C186" s="414"/>
      <c r="D186" s="413"/>
      <c r="E186" s="413"/>
      <c r="F186" s="413"/>
      <c r="G186" s="413"/>
      <c r="H186" s="413"/>
      <c r="I186" s="413"/>
      <c r="J186" s="413"/>
      <c r="K186" s="413"/>
      <c r="L186" s="413"/>
      <c r="M186" s="413"/>
      <c r="N186" s="413"/>
      <c r="O186" s="413"/>
      <c r="P186" s="413"/>
      <c r="Q186" s="413"/>
      <c r="R186" s="413"/>
      <c r="S186" s="413"/>
      <c r="T186" s="413"/>
      <c r="U186" s="413"/>
      <c r="V186" s="413"/>
      <c r="W186" s="413"/>
      <c r="X186" s="413"/>
      <c r="Y186" s="413"/>
      <c r="Z186" s="413"/>
    </row>
    <row r="187" ht="12.0" customHeight="1">
      <c r="A187" s="413"/>
      <c r="B187" s="413"/>
      <c r="C187" s="414"/>
      <c r="D187" s="413"/>
      <c r="E187" s="413"/>
      <c r="F187" s="413"/>
      <c r="G187" s="413"/>
      <c r="H187" s="413"/>
      <c r="I187" s="413"/>
      <c r="J187" s="413"/>
      <c r="K187" s="413"/>
      <c r="L187" s="413"/>
      <c r="M187" s="413"/>
      <c r="N187" s="413"/>
      <c r="O187" s="413"/>
      <c r="P187" s="413"/>
      <c r="Q187" s="413"/>
      <c r="R187" s="413"/>
      <c r="S187" s="413"/>
      <c r="T187" s="413"/>
      <c r="U187" s="413"/>
      <c r="V187" s="413"/>
      <c r="W187" s="413"/>
      <c r="X187" s="413"/>
      <c r="Y187" s="413"/>
      <c r="Z187" s="413"/>
    </row>
    <row r="188" ht="12.0" customHeight="1">
      <c r="A188" s="413"/>
      <c r="B188" s="413"/>
      <c r="C188" s="414"/>
      <c r="D188" s="413"/>
      <c r="E188" s="413"/>
      <c r="F188" s="413"/>
      <c r="G188" s="413"/>
      <c r="H188" s="413"/>
      <c r="I188" s="413"/>
      <c r="J188" s="413"/>
      <c r="K188" s="413"/>
      <c r="L188" s="413"/>
      <c r="M188" s="413"/>
      <c r="N188" s="413"/>
      <c r="O188" s="413"/>
      <c r="P188" s="413"/>
      <c r="Q188" s="413"/>
      <c r="R188" s="413"/>
      <c r="S188" s="413"/>
      <c r="T188" s="413"/>
      <c r="U188" s="413"/>
      <c r="V188" s="413"/>
      <c r="W188" s="413"/>
      <c r="X188" s="413"/>
      <c r="Y188" s="413"/>
      <c r="Z188" s="413"/>
    </row>
    <row r="189" ht="12.0" customHeight="1">
      <c r="A189" s="413"/>
      <c r="B189" s="413"/>
      <c r="C189" s="414"/>
      <c r="D189" s="413"/>
      <c r="E189" s="413"/>
      <c r="F189" s="413"/>
      <c r="G189" s="413"/>
      <c r="H189" s="413"/>
      <c r="I189" s="413"/>
      <c r="J189" s="413"/>
      <c r="K189" s="413"/>
      <c r="L189" s="413"/>
      <c r="M189" s="413"/>
      <c r="N189" s="413"/>
      <c r="O189" s="413"/>
      <c r="P189" s="413"/>
      <c r="Q189" s="413"/>
      <c r="R189" s="413"/>
      <c r="S189" s="413"/>
      <c r="T189" s="413"/>
      <c r="U189" s="413"/>
      <c r="V189" s="413"/>
      <c r="W189" s="413"/>
      <c r="X189" s="413"/>
      <c r="Y189" s="413"/>
      <c r="Z189" s="413"/>
    </row>
    <row r="190" ht="12.0" customHeight="1">
      <c r="A190" s="413"/>
      <c r="B190" s="413"/>
      <c r="C190" s="414"/>
      <c r="D190" s="413"/>
      <c r="E190" s="413"/>
      <c r="F190" s="413"/>
      <c r="G190" s="413"/>
      <c r="H190" s="413"/>
      <c r="I190" s="413"/>
      <c r="J190" s="413"/>
      <c r="K190" s="413"/>
      <c r="L190" s="413"/>
      <c r="M190" s="413"/>
      <c r="N190" s="413"/>
      <c r="O190" s="413"/>
      <c r="P190" s="413"/>
      <c r="Q190" s="413"/>
      <c r="R190" s="413"/>
      <c r="S190" s="413"/>
      <c r="T190" s="413"/>
      <c r="U190" s="413"/>
      <c r="V190" s="413"/>
      <c r="W190" s="413"/>
      <c r="X190" s="413"/>
      <c r="Y190" s="413"/>
      <c r="Z190" s="413"/>
    </row>
    <row r="191" ht="12.75" customHeight="1">
      <c r="A191" s="416"/>
      <c r="B191" s="416"/>
      <c r="C191" s="417"/>
      <c r="D191" s="413"/>
      <c r="E191" s="413"/>
      <c r="F191" s="413"/>
      <c r="G191" s="413"/>
      <c r="H191" s="413"/>
      <c r="I191" s="413"/>
      <c r="J191" s="413"/>
      <c r="K191" s="413"/>
      <c r="L191" s="413"/>
      <c r="M191" s="413"/>
      <c r="N191" s="413"/>
      <c r="O191" s="413"/>
      <c r="P191" s="413"/>
      <c r="Q191" s="413"/>
      <c r="R191" s="413"/>
      <c r="S191" s="413"/>
      <c r="T191" s="413"/>
      <c r="U191" s="413"/>
      <c r="V191" s="413"/>
      <c r="W191" s="413"/>
      <c r="X191" s="413"/>
      <c r="Y191" s="413"/>
      <c r="Z191" s="413"/>
    </row>
    <row r="192" ht="12.0" customHeight="1">
      <c r="A192" s="413"/>
      <c r="B192" s="413"/>
      <c r="C192" s="414"/>
      <c r="D192" s="413"/>
      <c r="E192" s="413"/>
      <c r="F192" s="413"/>
      <c r="G192" s="413"/>
      <c r="H192" s="413"/>
      <c r="I192" s="413"/>
      <c r="J192" s="413"/>
      <c r="K192" s="413"/>
      <c r="L192" s="413"/>
      <c r="M192" s="413"/>
      <c r="N192" s="413"/>
      <c r="O192" s="413"/>
      <c r="P192" s="413"/>
      <c r="Q192" s="413"/>
      <c r="R192" s="413"/>
      <c r="S192" s="413"/>
      <c r="T192" s="413"/>
      <c r="U192" s="413"/>
      <c r="V192" s="413"/>
      <c r="W192" s="413"/>
      <c r="X192" s="413"/>
      <c r="Y192" s="413"/>
      <c r="Z192" s="413"/>
    </row>
    <row r="193" ht="12.0" customHeight="1">
      <c r="A193" s="413"/>
      <c r="B193" s="413"/>
      <c r="C193" s="414"/>
      <c r="D193" s="413"/>
      <c r="E193" s="413"/>
      <c r="F193" s="413"/>
      <c r="G193" s="413"/>
      <c r="H193" s="413"/>
      <c r="I193" s="413"/>
      <c r="J193" s="413"/>
      <c r="K193" s="413"/>
      <c r="L193" s="413"/>
      <c r="M193" s="413"/>
      <c r="N193" s="413"/>
      <c r="O193" s="413"/>
      <c r="P193" s="413"/>
      <c r="Q193" s="413"/>
      <c r="R193" s="413"/>
      <c r="S193" s="413"/>
      <c r="T193" s="413"/>
      <c r="U193" s="413"/>
      <c r="V193" s="413"/>
      <c r="W193" s="413"/>
      <c r="X193" s="413"/>
      <c r="Y193" s="413"/>
      <c r="Z193" s="413"/>
    </row>
    <row r="194" ht="12.0" customHeight="1">
      <c r="A194" s="413"/>
      <c r="B194" s="413"/>
      <c r="C194" s="414"/>
      <c r="D194" s="413"/>
      <c r="E194" s="413"/>
      <c r="F194" s="413"/>
      <c r="G194" s="413"/>
      <c r="H194" s="413"/>
      <c r="I194" s="413"/>
      <c r="J194" s="413"/>
      <c r="K194" s="413"/>
      <c r="L194" s="413"/>
      <c r="M194" s="413"/>
      <c r="N194" s="413"/>
      <c r="O194" s="413"/>
      <c r="P194" s="413"/>
      <c r="Q194" s="413"/>
      <c r="R194" s="413"/>
      <c r="S194" s="413"/>
      <c r="T194" s="413"/>
      <c r="U194" s="413"/>
      <c r="V194" s="413"/>
      <c r="W194" s="413"/>
      <c r="X194" s="413"/>
      <c r="Y194" s="413"/>
      <c r="Z194" s="413"/>
    </row>
    <row r="195" ht="12.0" customHeight="1">
      <c r="A195" s="413"/>
      <c r="B195" s="413"/>
      <c r="C195" s="414"/>
      <c r="D195" s="413"/>
      <c r="E195" s="413"/>
      <c r="F195" s="413"/>
      <c r="G195" s="413"/>
      <c r="H195" s="413"/>
      <c r="I195" s="413"/>
      <c r="J195" s="413"/>
      <c r="K195" s="413"/>
      <c r="L195" s="413"/>
      <c r="M195" s="413"/>
      <c r="N195" s="413"/>
      <c r="O195" s="413"/>
      <c r="P195" s="413"/>
      <c r="Q195" s="413"/>
      <c r="R195" s="413"/>
      <c r="S195" s="413"/>
      <c r="T195" s="413"/>
      <c r="U195" s="413"/>
      <c r="V195" s="413"/>
      <c r="W195" s="413"/>
      <c r="X195" s="413"/>
      <c r="Y195" s="413"/>
      <c r="Z195" s="413"/>
    </row>
    <row r="196" ht="12.75" customHeight="1">
      <c r="A196" s="413"/>
      <c r="B196" s="413"/>
      <c r="C196" s="414"/>
      <c r="D196" s="416"/>
      <c r="E196" s="416"/>
      <c r="F196" s="416"/>
      <c r="G196" s="41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  <c r="T196" s="416"/>
      <c r="U196" s="416"/>
      <c r="V196" s="416"/>
      <c r="W196" s="416"/>
      <c r="X196" s="416"/>
      <c r="Y196" s="416"/>
      <c r="Z196" s="416"/>
    </row>
    <row r="197" ht="12.0" customHeight="1">
      <c r="A197" s="413"/>
      <c r="B197" s="413"/>
      <c r="C197" s="414"/>
      <c r="D197" s="413"/>
      <c r="E197" s="413"/>
      <c r="F197" s="413"/>
      <c r="G197" s="413"/>
      <c r="H197" s="413"/>
      <c r="I197" s="413"/>
      <c r="J197" s="413"/>
      <c r="K197" s="413"/>
      <c r="L197" s="413"/>
      <c r="M197" s="413"/>
      <c r="N197" s="413"/>
      <c r="O197" s="413"/>
      <c r="P197" s="413"/>
      <c r="Q197" s="413"/>
      <c r="R197" s="413"/>
      <c r="S197" s="413"/>
      <c r="T197" s="413"/>
      <c r="U197" s="413"/>
      <c r="V197" s="413"/>
      <c r="W197" s="413"/>
      <c r="X197" s="413"/>
      <c r="Y197" s="413"/>
      <c r="Z197" s="413"/>
    </row>
    <row r="198" ht="12.0" customHeight="1">
      <c r="A198" s="413"/>
      <c r="B198" s="413"/>
      <c r="C198" s="414"/>
      <c r="D198" s="413"/>
      <c r="E198" s="413"/>
      <c r="F198" s="413"/>
      <c r="G198" s="413"/>
      <c r="H198" s="413"/>
      <c r="I198" s="413"/>
      <c r="J198" s="413"/>
      <c r="K198" s="413"/>
      <c r="L198" s="413"/>
      <c r="M198" s="413"/>
      <c r="N198" s="413"/>
      <c r="O198" s="413"/>
      <c r="P198" s="413"/>
      <c r="Q198" s="413"/>
      <c r="R198" s="413"/>
      <c r="S198" s="413"/>
      <c r="T198" s="413"/>
      <c r="U198" s="413"/>
      <c r="V198" s="413"/>
      <c r="W198" s="413"/>
      <c r="X198" s="413"/>
      <c r="Y198" s="413"/>
      <c r="Z198" s="413"/>
    </row>
    <row r="199" ht="12.0" customHeight="1">
      <c r="A199" s="413"/>
      <c r="B199" s="413"/>
      <c r="C199" s="414"/>
      <c r="D199" s="413"/>
      <c r="E199" s="413"/>
      <c r="F199" s="413"/>
      <c r="G199" s="413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  <c r="T199" s="413"/>
      <c r="U199" s="413"/>
      <c r="V199" s="413"/>
      <c r="W199" s="413"/>
      <c r="X199" s="413"/>
      <c r="Y199" s="413"/>
      <c r="Z199" s="413"/>
    </row>
    <row r="200" ht="12.0" customHeight="1">
      <c r="A200" s="413"/>
      <c r="B200" s="413"/>
      <c r="C200" s="414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</row>
    <row r="201" ht="12.0" customHeight="1">
      <c r="A201" s="413"/>
      <c r="B201" s="413"/>
      <c r="C201" s="414"/>
      <c r="D201" s="413"/>
      <c r="E201" s="413"/>
      <c r="F201" s="413"/>
      <c r="G201" s="413"/>
      <c r="H201" s="413"/>
      <c r="I201" s="413"/>
      <c r="J201" s="413"/>
      <c r="K201" s="413"/>
      <c r="L201" s="413"/>
      <c r="M201" s="413"/>
      <c r="N201" s="413"/>
      <c r="O201" s="413"/>
      <c r="P201" s="413"/>
      <c r="Q201" s="413"/>
      <c r="R201" s="413"/>
      <c r="S201" s="413"/>
      <c r="T201" s="413"/>
      <c r="U201" s="413"/>
      <c r="V201" s="413"/>
      <c r="W201" s="413"/>
      <c r="X201" s="413"/>
      <c r="Y201" s="413"/>
      <c r="Z201" s="413"/>
    </row>
    <row r="202" ht="12.0" customHeight="1">
      <c r="A202" s="413"/>
      <c r="B202" s="413"/>
      <c r="C202" s="414"/>
      <c r="D202" s="413"/>
      <c r="E202" s="413"/>
      <c r="F202" s="413"/>
      <c r="G202" s="413"/>
      <c r="H202" s="413"/>
      <c r="I202" s="413"/>
      <c r="J202" s="413"/>
      <c r="K202" s="413"/>
      <c r="L202" s="413"/>
      <c r="M202" s="413"/>
      <c r="N202" s="413"/>
      <c r="O202" s="413"/>
      <c r="P202" s="413"/>
      <c r="Q202" s="413"/>
      <c r="R202" s="413"/>
      <c r="S202" s="413"/>
      <c r="T202" s="413"/>
      <c r="U202" s="413"/>
      <c r="V202" s="413"/>
      <c r="W202" s="413"/>
      <c r="X202" s="413"/>
      <c r="Y202" s="413"/>
      <c r="Z202" s="413"/>
    </row>
    <row r="203" ht="12.0" customHeight="1">
      <c r="A203" s="413"/>
      <c r="B203" s="413"/>
      <c r="C203" s="414"/>
      <c r="D203" s="413"/>
      <c r="E203" s="413"/>
      <c r="F203" s="413"/>
      <c r="G203" s="413"/>
      <c r="H203" s="413"/>
      <c r="I203" s="413"/>
      <c r="J203" s="413"/>
      <c r="K203" s="413"/>
      <c r="L203" s="413"/>
      <c r="M203" s="413"/>
      <c r="N203" s="413"/>
      <c r="O203" s="413"/>
      <c r="P203" s="413"/>
      <c r="Q203" s="413"/>
      <c r="R203" s="413"/>
      <c r="S203" s="413"/>
      <c r="T203" s="413"/>
      <c r="U203" s="413"/>
      <c r="V203" s="413"/>
      <c r="W203" s="413"/>
      <c r="X203" s="413"/>
      <c r="Y203" s="413"/>
      <c r="Z203" s="413"/>
    </row>
    <row r="204" ht="12.0" customHeight="1">
      <c r="A204" s="413"/>
      <c r="B204" s="413"/>
      <c r="C204" s="414"/>
      <c r="D204" s="413"/>
      <c r="E204" s="413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</row>
    <row r="205" ht="12.0" customHeight="1">
      <c r="A205" s="413"/>
      <c r="B205" s="413"/>
      <c r="C205" s="414"/>
      <c r="D205" s="413"/>
      <c r="E205" s="413"/>
      <c r="F205" s="413"/>
      <c r="G205" s="413"/>
      <c r="H205" s="413"/>
      <c r="I205" s="413"/>
      <c r="J205" s="413"/>
      <c r="K205" s="413"/>
      <c r="L205" s="413"/>
      <c r="M205" s="413"/>
      <c r="N205" s="413"/>
      <c r="O205" s="413"/>
      <c r="P205" s="413"/>
      <c r="Q205" s="413"/>
      <c r="R205" s="413"/>
      <c r="S205" s="413"/>
      <c r="T205" s="413"/>
      <c r="U205" s="413"/>
      <c r="V205" s="413"/>
      <c r="W205" s="413"/>
      <c r="X205" s="413"/>
      <c r="Y205" s="413"/>
      <c r="Z205" s="413"/>
    </row>
    <row r="206" ht="12.0" customHeight="1">
      <c r="A206" s="413"/>
      <c r="B206" s="413"/>
      <c r="C206" s="414"/>
      <c r="D206" s="413"/>
      <c r="E206" s="413"/>
      <c r="F206" s="413"/>
      <c r="G206" s="413"/>
      <c r="H206" s="413"/>
      <c r="I206" s="413"/>
      <c r="J206" s="413"/>
      <c r="K206" s="413"/>
      <c r="L206" s="413"/>
      <c r="M206" s="413"/>
      <c r="N206" s="413"/>
      <c r="O206" s="413"/>
      <c r="P206" s="413"/>
      <c r="Q206" s="413"/>
      <c r="R206" s="413"/>
      <c r="S206" s="413"/>
      <c r="T206" s="413"/>
      <c r="U206" s="413"/>
      <c r="V206" s="413"/>
      <c r="W206" s="413"/>
      <c r="X206" s="413"/>
      <c r="Y206" s="413"/>
      <c r="Z206" s="413"/>
    </row>
    <row r="207" ht="12.0" customHeight="1">
      <c r="A207" s="413"/>
      <c r="B207" s="413"/>
      <c r="C207" s="414"/>
      <c r="D207" s="413"/>
      <c r="E207" s="413"/>
      <c r="F207" s="413"/>
      <c r="G207" s="413"/>
      <c r="H207" s="413"/>
      <c r="I207" s="413"/>
      <c r="J207" s="413"/>
      <c r="K207" s="413"/>
      <c r="L207" s="413"/>
      <c r="M207" s="413"/>
      <c r="N207" s="413"/>
      <c r="O207" s="413"/>
      <c r="P207" s="413"/>
      <c r="Q207" s="413"/>
      <c r="R207" s="413"/>
      <c r="S207" s="413"/>
      <c r="T207" s="413"/>
      <c r="U207" s="413"/>
      <c r="V207" s="413"/>
      <c r="W207" s="413"/>
      <c r="X207" s="413"/>
      <c r="Y207" s="413"/>
      <c r="Z207" s="413"/>
    </row>
    <row r="208" ht="12.0" customHeight="1">
      <c r="A208" s="413"/>
      <c r="B208" s="413"/>
      <c r="C208" s="414"/>
      <c r="D208" s="413"/>
      <c r="E208" s="413"/>
      <c r="F208" s="413"/>
      <c r="G208" s="413"/>
      <c r="H208" s="413"/>
      <c r="I208" s="413"/>
      <c r="J208" s="413"/>
      <c r="K208" s="413"/>
      <c r="L208" s="413"/>
      <c r="M208" s="413"/>
      <c r="N208" s="413"/>
      <c r="O208" s="413"/>
      <c r="P208" s="413"/>
      <c r="Q208" s="413"/>
      <c r="R208" s="413"/>
      <c r="S208" s="413"/>
      <c r="T208" s="413"/>
      <c r="U208" s="413"/>
      <c r="V208" s="413"/>
      <c r="W208" s="413"/>
      <c r="X208" s="413"/>
      <c r="Y208" s="413"/>
      <c r="Z208" s="413"/>
    </row>
    <row r="209" ht="12.0" customHeight="1">
      <c r="A209" s="413"/>
      <c r="B209" s="413"/>
      <c r="C209" s="414"/>
      <c r="D209" s="413"/>
      <c r="E209" s="413"/>
      <c r="F209" s="413"/>
      <c r="G209" s="413"/>
      <c r="H209" s="413"/>
      <c r="I209" s="413"/>
      <c r="J209" s="413"/>
      <c r="K209" s="413"/>
      <c r="L209" s="413"/>
      <c r="M209" s="413"/>
      <c r="N209" s="413"/>
      <c r="O209" s="413"/>
      <c r="P209" s="413"/>
      <c r="Q209" s="413"/>
      <c r="R209" s="413"/>
      <c r="S209" s="413"/>
      <c r="T209" s="413"/>
      <c r="U209" s="413"/>
      <c r="V209" s="413"/>
      <c r="W209" s="413"/>
      <c r="X209" s="413"/>
      <c r="Y209" s="413"/>
      <c r="Z209" s="413"/>
    </row>
    <row r="210" ht="12.0" customHeight="1">
      <c r="A210" s="413"/>
      <c r="B210" s="413"/>
      <c r="C210" s="414"/>
      <c r="D210" s="413"/>
      <c r="E210" s="413"/>
      <c r="F210" s="413"/>
      <c r="G210" s="413"/>
      <c r="H210" s="413"/>
      <c r="I210" s="413"/>
      <c r="J210" s="413"/>
      <c r="K210" s="413"/>
      <c r="L210" s="413"/>
      <c r="M210" s="413"/>
      <c r="N210" s="413"/>
      <c r="O210" s="413"/>
      <c r="P210" s="413"/>
      <c r="Q210" s="413"/>
      <c r="R210" s="413"/>
      <c r="S210" s="413"/>
      <c r="T210" s="413"/>
      <c r="U210" s="413"/>
      <c r="V210" s="413"/>
      <c r="W210" s="413"/>
      <c r="X210" s="413"/>
      <c r="Y210" s="413"/>
      <c r="Z210" s="413"/>
    </row>
    <row r="211" ht="12.0" customHeight="1">
      <c r="A211" s="413"/>
      <c r="B211" s="413"/>
      <c r="C211" s="414"/>
      <c r="D211" s="413"/>
      <c r="E211" s="413"/>
      <c r="F211" s="413"/>
      <c r="G211" s="413"/>
      <c r="H211" s="413"/>
      <c r="I211" s="413"/>
      <c r="J211" s="413"/>
      <c r="K211" s="413"/>
      <c r="L211" s="413"/>
      <c r="M211" s="413"/>
      <c r="N211" s="413"/>
      <c r="O211" s="413"/>
      <c r="P211" s="413"/>
      <c r="Q211" s="413"/>
      <c r="R211" s="413"/>
      <c r="S211" s="413"/>
      <c r="T211" s="413"/>
      <c r="U211" s="413"/>
      <c r="V211" s="413"/>
      <c r="W211" s="413"/>
      <c r="X211" s="413"/>
      <c r="Y211" s="413"/>
      <c r="Z211" s="413"/>
    </row>
    <row r="212" ht="12.0" customHeight="1">
      <c r="A212" s="413"/>
      <c r="B212" s="413"/>
      <c r="C212" s="414"/>
      <c r="D212" s="413"/>
      <c r="E212" s="413"/>
      <c r="F212" s="413"/>
      <c r="G212" s="413"/>
      <c r="H212" s="413"/>
      <c r="I212" s="413"/>
      <c r="J212" s="413"/>
      <c r="K212" s="413"/>
      <c r="L212" s="413"/>
      <c r="M212" s="413"/>
      <c r="N212" s="413"/>
      <c r="O212" s="413"/>
      <c r="P212" s="413"/>
      <c r="Q212" s="413"/>
      <c r="R212" s="413"/>
      <c r="S212" s="413"/>
      <c r="T212" s="413"/>
      <c r="U212" s="413"/>
      <c r="V212" s="413"/>
      <c r="W212" s="413"/>
      <c r="X212" s="413"/>
      <c r="Y212" s="413"/>
      <c r="Z212" s="413"/>
    </row>
    <row r="213" ht="12.0" customHeight="1">
      <c r="A213" s="413"/>
      <c r="B213" s="413"/>
      <c r="C213" s="414"/>
      <c r="D213" s="413"/>
      <c r="E213" s="413"/>
      <c r="F213" s="413"/>
      <c r="G213" s="413"/>
      <c r="H213" s="413"/>
      <c r="I213" s="413"/>
      <c r="J213" s="413"/>
      <c r="K213" s="413"/>
      <c r="L213" s="413"/>
      <c r="M213" s="413"/>
      <c r="N213" s="413"/>
      <c r="O213" s="413"/>
      <c r="P213" s="413"/>
      <c r="Q213" s="413"/>
      <c r="R213" s="413"/>
      <c r="S213" s="413"/>
      <c r="T213" s="413"/>
      <c r="U213" s="413"/>
      <c r="V213" s="413"/>
      <c r="W213" s="413"/>
      <c r="X213" s="413"/>
      <c r="Y213" s="413"/>
      <c r="Z213" s="413"/>
    </row>
    <row r="214" ht="12.0" customHeight="1">
      <c r="A214" s="413"/>
      <c r="B214" s="413"/>
      <c r="C214" s="414"/>
      <c r="D214" s="413"/>
      <c r="E214" s="413"/>
      <c r="F214" s="413"/>
      <c r="G214" s="413"/>
      <c r="H214" s="413"/>
      <c r="I214" s="413"/>
      <c r="J214" s="413"/>
      <c r="K214" s="413"/>
      <c r="L214" s="413"/>
      <c r="M214" s="413"/>
      <c r="N214" s="413"/>
      <c r="O214" s="413"/>
      <c r="P214" s="413"/>
      <c r="Q214" s="413"/>
      <c r="R214" s="413"/>
      <c r="S214" s="413"/>
      <c r="T214" s="413"/>
      <c r="U214" s="413"/>
      <c r="V214" s="413"/>
      <c r="W214" s="413"/>
      <c r="X214" s="413"/>
      <c r="Y214" s="413"/>
      <c r="Z214" s="413"/>
    </row>
    <row r="215" ht="12.0" customHeight="1">
      <c r="A215" s="413"/>
      <c r="B215" s="413"/>
      <c r="C215" s="414"/>
      <c r="D215" s="413"/>
      <c r="E215" s="413"/>
      <c r="F215" s="413"/>
      <c r="G215" s="413"/>
      <c r="H215" s="413"/>
      <c r="I215" s="413"/>
      <c r="J215" s="413"/>
      <c r="K215" s="413"/>
      <c r="L215" s="413"/>
      <c r="M215" s="413"/>
      <c r="N215" s="413"/>
      <c r="O215" s="413"/>
      <c r="P215" s="413"/>
      <c r="Q215" s="413"/>
      <c r="R215" s="413"/>
      <c r="S215" s="413"/>
      <c r="T215" s="413"/>
      <c r="U215" s="413"/>
      <c r="V215" s="413"/>
      <c r="W215" s="413"/>
      <c r="X215" s="413"/>
      <c r="Y215" s="413"/>
      <c r="Z215" s="413"/>
    </row>
    <row r="216" ht="12.0" customHeight="1">
      <c r="A216" s="413"/>
      <c r="B216" s="413"/>
      <c r="C216" s="414"/>
      <c r="D216" s="413"/>
      <c r="E216" s="413"/>
      <c r="F216" s="413"/>
      <c r="G216" s="413"/>
      <c r="H216" s="413"/>
      <c r="I216" s="413"/>
      <c r="J216" s="413"/>
      <c r="K216" s="413"/>
      <c r="L216" s="413"/>
      <c r="M216" s="413"/>
      <c r="N216" s="413"/>
      <c r="O216" s="413"/>
      <c r="P216" s="413"/>
      <c r="Q216" s="413"/>
      <c r="R216" s="413"/>
      <c r="S216" s="413"/>
      <c r="T216" s="413"/>
      <c r="U216" s="413"/>
      <c r="V216" s="413"/>
      <c r="W216" s="413"/>
      <c r="X216" s="413"/>
      <c r="Y216" s="413"/>
      <c r="Z216" s="413"/>
    </row>
    <row r="217" ht="12.0" customHeight="1">
      <c r="A217" s="413"/>
      <c r="B217" s="413"/>
      <c r="C217" s="414"/>
      <c r="D217" s="413"/>
      <c r="E217" s="413"/>
      <c r="F217" s="413"/>
      <c r="G217" s="413"/>
      <c r="H217" s="413"/>
      <c r="I217" s="413"/>
      <c r="J217" s="413"/>
      <c r="K217" s="413"/>
      <c r="L217" s="413"/>
      <c r="M217" s="413"/>
      <c r="N217" s="413"/>
      <c r="O217" s="413"/>
      <c r="P217" s="413"/>
      <c r="Q217" s="413"/>
      <c r="R217" s="413"/>
      <c r="S217" s="413"/>
      <c r="T217" s="413"/>
      <c r="U217" s="413"/>
      <c r="V217" s="413"/>
      <c r="W217" s="413"/>
      <c r="X217" s="413"/>
      <c r="Y217" s="413"/>
      <c r="Z217" s="413"/>
    </row>
    <row r="218" ht="12.0" customHeight="1">
      <c r="A218" s="413"/>
      <c r="B218" s="413"/>
      <c r="C218" s="414"/>
      <c r="D218" s="413"/>
      <c r="E218" s="413"/>
      <c r="F218" s="413"/>
      <c r="G218" s="413"/>
      <c r="H218" s="413"/>
      <c r="I218" s="413"/>
      <c r="J218" s="413"/>
      <c r="K218" s="413"/>
      <c r="L218" s="413"/>
      <c r="M218" s="413"/>
      <c r="N218" s="413"/>
      <c r="O218" s="413"/>
      <c r="P218" s="413"/>
      <c r="Q218" s="413"/>
      <c r="R218" s="413"/>
      <c r="S218" s="413"/>
      <c r="T218" s="413"/>
      <c r="U218" s="413"/>
      <c r="V218" s="413"/>
      <c r="W218" s="413"/>
      <c r="X218" s="413"/>
      <c r="Y218" s="413"/>
      <c r="Z218" s="413"/>
    </row>
    <row r="219" ht="12.0" customHeight="1">
      <c r="A219" s="413"/>
      <c r="B219" s="413"/>
      <c r="C219" s="414"/>
      <c r="D219" s="413"/>
      <c r="E219" s="413"/>
      <c r="F219" s="413"/>
      <c r="G219" s="413"/>
      <c r="H219" s="413"/>
      <c r="I219" s="413"/>
      <c r="J219" s="413"/>
      <c r="K219" s="413"/>
      <c r="L219" s="413"/>
      <c r="M219" s="413"/>
      <c r="N219" s="413"/>
      <c r="O219" s="413"/>
      <c r="P219" s="413"/>
      <c r="Q219" s="413"/>
      <c r="R219" s="413"/>
      <c r="S219" s="413"/>
      <c r="T219" s="413"/>
      <c r="U219" s="413"/>
      <c r="V219" s="413"/>
      <c r="W219" s="413"/>
      <c r="X219" s="413"/>
      <c r="Y219" s="413"/>
      <c r="Z219" s="413"/>
    </row>
    <row r="220" ht="12.0" customHeight="1">
      <c r="A220" s="413"/>
      <c r="B220" s="413"/>
      <c r="C220" s="414"/>
      <c r="D220" s="413"/>
      <c r="E220" s="413"/>
      <c r="F220" s="413"/>
      <c r="G220" s="413"/>
      <c r="H220" s="413"/>
      <c r="I220" s="413"/>
      <c r="J220" s="413"/>
      <c r="K220" s="413"/>
      <c r="L220" s="413"/>
      <c r="M220" s="413"/>
      <c r="N220" s="413"/>
      <c r="O220" s="413"/>
      <c r="P220" s="413"/>
      <c r="Q220" s="413"/>
      <c r="R220" s="413"/>
      <c r="S220" s="413"/>
      <c r="T220" s="413"/>
      <c r="U220" s="413"/>
      <c r="V220" s="413"/>
      <c r="W220" s="413"/>
      <c r="X220" s="413"/>
      <c r="Y220" s="413"/>
      <c r="Z220" s="413"/>
    </row>
    <row r="221" ht="12.0" customHeight="1">
      <c r="A221" s="413"/>
      <c r="B221" s="413"/>
      <c r="C221" s="414"/>
      <c r="D221" s="413"/>
      <c r="E221" s="413"/>
      <c r="F221" s="413"/>
      <c r="G221" s="413"/>
      <c r="H221" s="413"/>
      <c r="I221" s="413"/>
      <c r="J221" s="413"/>
      <c r="K221" s="413"/>
      <c r="L221" s="413"/>
      <c r="M221" s="413"/>
      <c r="N221" s="413"/>
      <c r="O221" s="413"/>
      <c r="P221" s="413"/>
      <c r="Q221" s="413"/>
      <c r="R221" s="413"/>
      <c r="S221" s="413"/>
      <c r="T221" s="413"/>
      <c r="U221" s="413"/>
      <c r="V221" s="413"/>
      <c r="W221" s="413"/>
      <c r="X221" s="413"/>
      <c r="Y221" s="413"/>
      <c r="Z221" s="413"/>
    </row>
    <row r="222" ht="12.0" customHeight="1">
      <c r="A222" s="413"/>
      <c r="B222" s="413"/>
      <c r="C222" s="414"/>
      <c r="D222" s="413"/>
      <c r="E222" s="413"/>
      <c r="F222" s="413"/>
      <c r="G222" s="413"/>
      <c r="H222" s="413"/>
      <c r="I222" s="413"/>
      <c r="J222" s="413"/>
      <c r="K222" s="413"/>
      <c r="L222" s="413"/>
      <c r="M222" s="413"/>
      <c r="N222" s="413"/>
      <c r="O222" s="413"/>
      <c r="P222" s="413"/>
      <c r="Q222" s="413"/>
      <c r="R222" s="413"/>
      <c r="S222" s="413"/>
      <c r="T222" s="413"/>
      <c r="U222" s="413"/>
      <c r="V222" s="413"/>
      <c r="W222" s="413"/>
      <c r="X222" s="413"/>
      <c r="Y222" s="413"/>
      <c r="Z222" s="413"/>
    </row>
    <row r="223" ht="12.0" customHeight="1">
      <c r="A223" s="413"/>
      <c r="B223" s="413"/>
      <c r="C223" s="414"/>
      <c r="D223" s="413"/>
      <c r="E223" s="413"/>
      <c r="F223" s="413"/>
      <c r="G223" s="413"/>
      <c r="H223" s="413"/>
      <c r="I223" s="413"/>
      <c r="J223" s="413"/>
      <c r="K223" s="413"/>
      <c r="L223" s="413"/>
      <c r="M223" s="413"/>
      <c r="N223" s="413"/>
      <c r="O223" s="413"/>
      <c r="P223" s="413"/>
      <c r="Q223" s="413"/>
      <c r="R223" s="413"/>
      <c r="S223" s="413"/>
      <c r="T223" s="413"/>
      <c r="U223" s="413"/>
      <c r="V223" s="413"/>
      <c r="W223" s="413"/>
      <c r="X223" s="413"/>
      <c r="Y223" s="413"/>
      <c r="Z223" s="413"/>
    </row>
    <row r="224" ht="12.0" customHeight="1">
      <c r="A224" s="413"/>
      <c r="B224" s="413"/>
      <c r="C224" s="414"/>
      <c r="D224" s="413"/>
      <c r="E224" s="413"/>
      <c r="F224" s="413"/>
      <c r="G224" s="413"/>
      <c r="H224" s="413"/>
      <c r="I224" s="413"/>
      <c r="J224" s="413"/>
      <c r="K224" s="413"/>
      <c r="L224" s="413"/>
      <c r="M224" s="413"/>
      <c r="N224" s="413"/>
      <c r="O224" s="413"/>
      <c r="P224" s="413"/>
      <c r="Q224" s="413"/>
      <c r="R224" s="413"/>
      <c r="S224" s="413"/>
      <c r="T224" s="413"/>
      <c r="U224" s="413"/>
      <c r="V224" s="413"/>
      <c r="W224" s="413"/>
      <c r="X224" s="413"/>
      <c r="Y224" s="413"/>
      <c r="Z224" s="413"/>
    </row>
    <row r="225" ht="12.0" customHeight="1">
      <c r="A225" s="413"/>
      <c r="B225" s="413"/>
      <c r="C225" s="414"/>
      <c r="D225" s="413"/>
      <c r="E225" s="413"/>
      <c r="F225" s="413"/>
      <c r="G225" s="413"/>
      <c r="H225" s="413"/>
      <c r="I225" s="413"/>
      <c r="J225" s="413"/>
      <c r="K225" s="413"/>
      <c r="L225" s="413"/>
      <c r="M225" s="413"/>
      <c r="N225" s="413"/>
      <c r="O225" s="413"/>
      <c r="P225" s="413"/>
      <c r="Q225" s="413"/>
      <c r="R225" s="413"/>
      <c r="S225" s="413"/>
      <c r="T225" s="413"/>
      <c r="U225" s="413"/>
      <c r="V225" s="413"/>
      <c r="W225" s="413"/>
      <c r="X225" s="413"/>
      <c r="Y225" s="413"/>
      <c r="Z225" s="413"/>
    </row>
    <row r="226" ht="12.0" customHeight="1">
      <c r="A226" s="413"/>
      <c r="B226" s="413"/>
      <c r="C226" s="414"/>
      <c r="D226" s="413"/>
      <c r="E226" s="413"/>
      <c r="F226" s="413"/>
      <c r="G226" s="413"/>
      <c r="H226" s="413"/>
      <c r="I226" s="413"/>
      <c r="J226" s="413"/>
      <c r="K226" s="413"/>
      <c r="L226" s="413"/>
      <c r="M226" s="413"/>
      <c r="N226" s="413"/>
      <c r="O226" s="413"/>
      <c r="P226" s="413"/>
      <c r="Q226" s="413"/>
      <c r="R226" s="413"/>
      <c r="S226" s="413"/>
      <c r="T226" s="413"/>
      <c r="U226" s="413"/>
      <c r="V226" s="413"/>
      <c r="W226" s="413"/>
      <c r="X226" s="413"/>
      <c r="Y226" s="413"/>
      <c r="Z226" s="413"/>
    </row>
    <row r="227" ht="12.0" customHeight="1">
      <c r="A227" s="413"/>
      <c r="B227" s="413"/>
      <c r="C227" s="414"/>
      <c r="D227" s="413"/>
      <c r="E227" s="413"/>
      <c r="F227" s="413"/>
      <c r="G227" s="413"/>
      <c r="H227" s="413"/>
      <c r="I227" s="413"/>
      <c r="J227" s="413"/>
      <c r="K227" s="413"/>
      <c r="L227" s="413"/>
      <c r="M227" s="413"/>
      <c r="N227" s="413"/>
      <c r="O227" s="413"/>
      <c r="P227" s="413"/>
      <c r="Q227" s="413"/>
      <c r="R227" s="413"/>
      <c r="S227" s="413"/>
      <c r="T227" s="413"/>
      <c r="U227" s="413"/>
      <c r="V227" s="413"/>
      <c r="W227" s="413"/>
      <c r="X227" s="413"/>
      <c r="Y227" s="413"/>
      <c r="Z227" s="413"/>
    </row>
    <row r="228" ht="12.0" customHeight="1">
      <c r="A228" s="413"/>
      <c r="B228" s="413"/>
      <c r="C228" s="414"/>
      <c r="D228" s="413"/>
      <c r="E228" s="413"/>
      <c r="F228" s="413"/>
      <c r="G228" s="413"/>
      <c r="H228" s="413"/>
      <c r="I228" s="413"/>
      <c r="J228" s="413"/>
      <c r="K228" s="413"/>
      <c r="L228" s="413"/>
      <c r="M228" s="413"/>
      <c r="N228" s="413"/>
      <c r="O228" s="413"/>
      <c r="P228" s="413"/>
      <c r="Q228" s="413"/>
      <c r="R228" s="413"/>
      <c r="S228" s="413"/>
      <c r="T228" s="413"/>
      <c r="U228" s="413"/>
      <c r="V228" s="413"/>
      <c r="W228" s="413"/>
      <c r="X228" s="413"/>
      <c r="Y228" s="413"/>
      <c r="Z228" s="413"/>
    </row>
    <row r="229" ht="12.0" customHeight="1">
      <c r="A229" s="413"/>
      <c r="B229" s="413"/>
      <c r="C229" s="414"/>
      <c r="D229" s="413"/>
      <c r="E229" s="413"/>
      <c r="F229" s="413"/>
      <c r="G229" s="413"/>
      <c r="H229" s="413"/>
      <c r="I229" s="413"/>
      <c r="J229" s="413"/>
      <c r="K229" s="413"/>
      <c r="L229" s="413"/>
      <c r="M229" s="413"/>
      <c r="N229" s="413"/>
      <c r="O229" s="413"/>
      <c r="P229" s="413"/>
      <c r="Q229" s="413"/>
      <c r="R229" s="413"/>
      <c r="S229" s="413"/>
      <c r="T229" s="413"/>
      <c r="U229" s="413"/>
      <c r="V229" s="413"/>
      <c r="W229" s="413"/>
      <c r="X229" s="413"/>
      <c r="Y229" s="413"/>
      <c r="Z229" s="413"/>
    </row>
    <row r="230" ht="12.0" customHeight="1">
      <c r="A230" s="413"/>
      <c r="B230" s="413"/>
      <c r="C230" s="414"/>
      <c r="D230" s="413"/>
      <c r="E230" s="413"/>
      <c r="F230" s="413"/>
      <c r="G230" s="413"/>
      <c r="H230" s="413"/>
      <c r="I230" s="413"/>
      <c r="J230" s="413"/>
      <c r="K230" s="413"/>
      <c r="L230" s="413"/>
      <c r="M230" s="413"/>
      <c r="N230" s="413"/>
      <c r="O230" s="413"/>
      <c r="P230" s="413"/>
      <c r="Q230" s="413"/>
      <c r="R230" s="413"/>
      <c r="S230" s="413"/>
      <c r="T230" s="413"/>
      <c r="U230" s="413"/>
      <c r="V230" s="413"/>
      <c r="W230" s="413"/>
      <c r="X230" s="413"/>
      <c r="Y230" s="413"/>
      <c r="Z230" s="413"/>
    </row>
    <row r="231" ht="12.0" customHeight="1">
      <c r="A231" s="413"/>
      <c r="B231" s="413"/>
      <c r="C231" s="414"/>
      <c r="D231" s="413"/>
      <c r="E231" s="413"/>
      <c r="F231" s="413"/>
      <c r="G231" s="413"/>
      <c r="H231" s="413"/>
      <c r="I231" s="413"/>
      <c r="J231" s="413"/>
      <c r="K231" s="413"/>
      <c r="L231" s="413"/>
      <c r="M231" s="413"/>
      <c r="N231" s="413"/>
      <c r="O231" s="413"/>
      <c r="P231" s="413"/>
      <c r="Q231" s="413"/>
      <c r="R231" s="413"/>
      <c r="S231" s="413"/>
      <c r="T231" s="413"/>
      <c r="U231" s="413"/>
      <c r="V231" s="413"/>
      <c r="W231" s="413"/>
      <c r="X231" s="413"/>
      <c r="Y231" s="413"/>
      <c r="Z231" s="413"/>
    </row>
    <row r="232" ht="12.0" customHeight="1">
      <c r="A232" s="413"/>
      <c r="B232" s="413"/>
      <c r="C232" s="414"/>
      <c r="D232" s="413"/>
      <c r="E232" s="413"/>
      <c r="F232" s="413"/>
      <c r="G232" s="413"/>
      <c r="H232" s="413"/>
      <c r="I232" s="413"/>
      <c r="J232" s="413"/>
      <c r="K232" s="413"/>
      <c r="L232" s="413"/>
      <c r="M232" s="413"/>
      <c r="N232" s="413"/>
      <c r="O232" s="413"/>
      <c r="P232" s="413"/>
      <c r="Q232" s="413"/>
      <c r="R232" s="413"/>
      <c r="S232" s="413"/>
      <c r="T232" s="413"/>
      <c r="U232" s="413"/>
      <c r="V232" s="413"/>
      <c r="W232" s="413"/>
      <c r="X232" s="413"/>
      <c r="Y232" s="413"/>
      <c r="Z232" s="413"/>
    </row>
    <row r="233" ht="12.0" customHeight="1">
      <c r="A233" s="413"/>
      <c r="B233" s="413"/>
      <c r="C233" s="414"/>
      <c r="D233" s="413"/>
      <c r="E233" s="413"/>
      <c r="F233" s="413"/>
      <c r="G233" s="413"/>
      <c r="H233" s="413"/>
      <c r="I233" s="413"/>
      <c r="J233" s="413"/>
      <c r="K233" s="413"/>
      <c r="L233" s="413"/>
      <c r="M233" s="413"/>
      <c r="N233" s="413"/>
      <c r="O233" s="413"/>
      <c r="P233" s="413"/>
      <c r="Q233" s="413"/>
      <c r="R233" s="413"/>
      <c r="S233" s="413"/>
      <c r="T233" s="413"/>
      <c r="U233" s="413"/>
      <c r="V233" s="413"/>
      <c r="W233" s="413"/>
      <c r="X233" s="413"/>
      <c r="Y233" s="413"/>
      <c r="Z233" s="413"/>
    </row>
    <row r="234" ht="12.0" customHeight="1">
      <c r="A234" s="413"/>
      <c r="B234" s="413"/>
      <c r="C234" s="414"/>
      <c r="D234" s="413"/>
      <c r="E234" s="413"/>
      <c r="F234" s="413"/>
      <c r="G234" s="413"/>
      <c r="H234" s="413"/>
      <c r="I234" s="413"/>
      <c r="J234" s="413"/>
      <c r="K234" s="413"/>
      <c r="L234" s="413"/>
      <c r="M234" s="413"/>
      <c r="N234" s="413"/>
      <c r="O234" s="413"/>
      <c r="P234" s="413"/>
      <c r="Q234" s="413"/>
      <c r="R234" s="413"/>
      <c r="S234" s="413"/>
      <c r="T234" s="413"/>
      <c r="U234" s="413"/>
      <c r="V234" s="413"/>
      <c r="W234" s="413"/>
      <c r="X234" s="413"/>
      <c r="Y234" s="413"/>
      <c r="Z234" s="413"/>
    </row>
    <row r="235" ht="12.0" customHeight="1">
      <c r="A235" s="413"/>
      <c r="B235" s="413"/>
      <c r="C235" s="414"/>
      <c r="D235" s="413"/>
      <c r="E235" s="413"/>
      <c r="F235" s="413"/>
      <c r="G235" s="413"/>
      <c r="H235" s="413"/>
      <c r="I235" s="413"/>
      <c r="J235" s="413"/>
      <c r="K235" s="413"/>
      <c r="L235" s="413"/>
      <c r="M235" s="413"/>
      <c r="N235" s="413"/>
      <c r="O235" s="413"/>
      <c r="P235" s="413"/>
      <c r="Q235" s="413"/>
      <c r="R235" s="413"/>
      <c r="S235" s="413"/>
      <c r="T235" s="413"/>
      <c r="U235" s="413"/>
      <c r="V235" s="413"/>
      <c r="W235" s="413"/>
      <c r="X235" s="413"/>
      <c r="Y235" s="413"/>
      <c r="Z235" s="413"/>
    </row>
    <row r="236" ht="12.0" customHeight="1">
      <c r="A236" s="413"/>
      <c r="B236" s="413"/>
      <c r="C236" s="414"/>
      <c r="D236" s="413"/>
      <c r="E236" s="413"/>
      <c r="F236" s="413"/>
      <c r="G236" s="413"/>
      <c r="H236" s="413"/>
      <c r="I236" s="413"/>
      <c r="J236" s="413"/>
      <c r="K236" s="413"/>
      <c r="L236" s="413"/>
      <c r="M236" s="413"/>
      <c r="N236" s="413"/>
      <c r="O236" s="413"/>
      <c r="P236" s="413"/>
      <c r="Q236" s="413"/>
      <c r="R236" s="413"/>
      <c r="S236" s="413"/>
      <c r="T236" s="413"/>
      <c r="U236" s="413"/>
      <c r="V236" s="413"/>
      <c r="W236" s="413"/>
      <c r="X236" s="413"/>
      <c r="Y236" s="413"/>
      <c r="Z236" s="413"/>
    </row>
    <row r="237" ht="12.0" customHeight="1">
      <c r="A237" s="413"/>
      <c r="B237" s="413"/>
      <c r="C237" s="414"/>
      <c r="D237" s="413"/>
      <c r="E237" s="413"/>
      <c r="F237" s="413"/>
      <c r="G237" s="413"/>
      <c r="H237" s="413"/>
      <c r="I237" s="413"/>
      <c r="J237" s="413"/>
      <c r="K237" s="413"/>
      <c r="L237" s="413"/>
      <c r="M237" s="413"/>
      <c r="N237" s="413"/>
      <c r="O237" s="413"/>
      <c r="P237" s="413"/>
      <c r="Q237" s="413"/>
      <c r="R237" s="413"/>
      <c r="S237" s="413"/>
      <c r="T237" s="413"/>
      <c r="U237" s="413"/>
      <c r="V237" s="413"/>
      <c r="W237" s="413"/>
      <c r="X237" s="413"/>
      <c r="Y237" s="413"/>
      <c r="Z237" s="413"/>
    </row>
    <row r="238" ht="12.0" customHeight="1">
      <c r="A238" s="413"/>
      <c r="B238" s="413"/>
      <c r="C238" s="414"/>
      <c r="D238" s="413"/>
      <c r="E238" s="413"/>
      <c r="F238" s="413"/>
      <c r="G238" s="413"/>
      <c r="H238" s="413"/>
      <c r="I238" s="413"/>
      <c r="J238" s="413"/>
      <c r="K238" s="413"/>
      <c r="L238" s="413"/>
      <c r="M238" s="413"/>
      <c r="N238" s="413"/>
      <c r="O238" s="413"/>
      <c r="P238" s="413"/>
      <c r="Q238" s="413"/>
      <c r="R238" s="413"/>
      <c r="S238" s="413"/>
      <c r="T238" s="413"/>
      <c r="U238" s="413"/>
      <c r="V238" s="413"/>
      <c r="W238" s="413"/>
      <c r="X238" s="413"/>
      <c r="Y238" s="413"/>
      <c r="Z238" s="413"/>
    </row>
    <row r="239" ht="12.0" customHeight="1">
      <c r="A239" s="413"/>
      <c r="B239" s="413"/>
      <c r="C239" s="414"/>
      <c r="D239" s="413"/>
      <c r="E239" s="413"/>
      <c r="F239" s="413"/>
      <c r="G239" s="413"/>
      <c r="H239" s="413"/>
      <c r="I239" s="413"/>
      <c r="J239" s="413"/>
      <c r="K239" s="413"/>
      <c r="L239" s="413"/>
      <c r="M239" s="413"/>
      <c r="N239" s="413"/>
      <c r="O239" s="413"/>
      <c r="P239" s="413"/>
      <c r="Q239" s="413"/>
      <c r="R239" s="413"/>
      <c r="S239" s="413"/>
      <c r="T239" s="413"/>
      <c r="U239" s="413"/>
      <c r="V239" s="413"/>
      <c r="W239" s="413"/>
      <c r="X239" s="413"/>
      <c r="Y239" s="413"/>
      <c r="Z239" s="413"/>
    </row>
    <row r="240" ht="12.0" customHeight="1">
      <c r="A240" s="413"/>
      <c r="B240" s="413"/>
      <c r="C240" s="414"/>
      <c r="D240" s="413"/>
      <c r="E240" s="413"/>
      <c r="F240" s="413"/>
      <c r="G240" s="413"/>
      <c r="H240" s="413"/>
      <c r="I240" s="413"/>
      <c r="J240" s="413"/>
      <c r="K240" s="413"/>
      <c r="L240" s="413"/>
      <c r="M240" s="413"/>
      <c r="N240" s="413"/>
      <c r="O240" s="413"/>
      <c r="P240" s="413"/>
      <c r="Q240" s="413"/>
      <c r="R240" s="413"/>
      <c r="S240" s="413"/>
      <c r="T240" s="413"/>
      <c r="U240" s="413"/>
      <c r="V240" s="413"/>
      <c r="W240" s="413"/>
      <c r="X240" s="413"/>
      <c r="Y240" s="413"/>
      <c r="Z240" s="413"/>
    </row>
    <row r="241" ht="12.0" customHeight="1">
      <c r="A241" s="413"/>
      <c r="B241" s="413"/>
      <c r="C241" s="414"/>
      <c r="D241" s="413"/>
      <c r="E241" s="413"/>
      <c r="F241" s="413"/>
      <c r="G241" s="413"/>
      <c r="H241" s="413"/>
      <c r="I241" s="413"/>
      <c r="J241" s="413"/>
      <c r="K241" s="413"/>
      <c r="L241" s="413"/>
      <c r="M241" s="413"/>
      <c r="N241" s="413"/>
      <c r="O241" s="413"/>
      <c r="P241" s="413"/>
      <c r="Q241" s="413"/>
      <c r="R241" s="413"/>
      <c r="S241" s="413"/>
      <c r="T241" s="413"/>
      <c r="U241" s="413"/>
      <c r="V241" s="413"/>
      <c r="W241" s="413"/>
      <c r="X241" s="413"/>
      <c r="Y241" s="413"/>
      <c r="Z241" s="413"/>
    </row>
    <row r="242" ht="12.0" customHeight="1">
      <c r="A242" s="413"/>
      <c r="B242" s="413"/>
      <c r="C242" s="414"/>
      <c r="D242" s="413"/>
      <c r="E242" s="413"/>
      <c r="F242" s="413"/>
      <c r="G242" s="413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  <c r="T242" s="413"/>
      <c r="U242" s="413"/>
      <c r="V242" s="413"/>
      <c r="W242" s="413"/>
      <c r="X242" s="413"/>
      <c r="Y242" s="413"/>
      <c r="Z242" s="413"/>
    </row>
    <row r="243" ht="12.0" customHeight="1">
      <c r="A243" s="413"/>
      <c r="B243" s="413"/>
      <c r="C243" s="414"/>
      <c r="D243" s="413"/>
      <c r="E243" s="413"/>
      <c r="F243" s="413"/>
      <c r="G243" s="413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  <c r="T243" s="413"/>
      <c r="U243" s="413"/>
      <c r="V243" s="413"/>
      <c r="W243" s="413"/>
      <c r="X243" s="413"/>
      <c r="Y243" s="413"/>
      <c r="Z243" s="413"/>
    </row>
    <row r="244" ht="12.0" customHeight="1">
      <c r="A244" s="413"/>
      <c r="B244" s="413"/>
      <c r="C244" s="414"/>
      <c r="D244" s="413"/>
      <c r="E244" s="413"/>
      <c r="F244" s="413"/>
      <c r="G244" s="413"/>
      <c r="H244" s="413"/>
      <c r="I244" s="413"/>
      <c r="J244" s="413"/>
      <c r="K244" s="413"/>
      <c r="L244" s="413"/>
      <c r="M244" s="413"/>
      <c r="N244" s="413"/>
      <c r="O244" s="413"/>
      <c r="P244" s="413"/>
      <c r="Q244" s="413"/>
      <c r="R244" s="413"/>
      <c r="S244" s="413"/>
      <c r="T244" s="413"/>
      <c r="U244" s="413"/>
      <c r="V244" s="413"/>
      <c r="W244" s="413"/>
      <c r="X244" s="413"/>
      <c r="Y244" s="413"/>
      <c r="Z244" s="413"/>
    </row>
    <row r="245" ht="12.0" customHeight="1">
      <c r="A245" s="413"/>
      <c r="B245" s="413"/>
      <c r="C245" s="414"/>
      <c r="D245" s="413"/>
      <c r="E245" s="413"/>
      <c r="F245" s="413"/>
      <c r="G245" s="413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413"/>
      <c r="T245" s="413"/>
      <c r="U245" s="413"/>
      <c r="V245" s="413"/>
      <c r="W245" s="413"/>
      <c r="X245" s="413"/>
      <c r="Y245" s="413"/>
      <c r="Z245" s="413"/>
    </row>
    <row r="246" ht="12.0" customHeight="1">
      <c r="A246" s="413"/>
      <c r="B246" s="413"/>
      <c r="C246" s="414"/>
      <c r="D246" s="413"/>
      <c r="E246" s="413"/>
      <c r="F246" s="413"/>
      <c r="G246" s="413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413"/>
      <c r="T246" s="413"/>
      <c r="U246" s="413"/>
      <c r="V246" s="413"/>
      <c r="W246" s="413"/>
      <c r="X246" s="413"/>
      <c r="Y246" s="413"/>
      <c r="Z246" s="413"/>
    </row>
    <row r="247" ht="12.0" customHeight="1">
      <c r="A247" s="413"/>
      <c r="B247" s="413"/>
      <c r="C247" s="414"/>
      <c r="D247" s="413"/>
      <c r="E247" s="413"/>
      <c r="F247" s="413"/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  <c r="T247" s="413"/>
      <c r="U247" s="413"/>
      <c r="V247" s="413"/>
      <c r="W247" s="413"/>
      <c r="X247" s="413"/>
      <c r="Y247" s="413"/>
      <c r="Z247" s="413"/>
    </row>
    <row r="248" ht="12.0" customHeight="1">
      <c r="A248" s="413"/>
      <c r="B248" s="413"/>
      <c r="C248" s="414"/>
      <c r="D248" s="413"/>
      <c r="E248" s="413"/>
      <c r="F248" s="413"/>
      <c r="G248" s="413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  <c r="T248" s="413"/>
      <c r="U248" s="413"/>
      <c r="V248" s="413"/>
      <c r="W248" s="413"/>
      <c r="X248" s="413"/>
      <c r="Y248" s="413"/>
      <c r="Z248" s="413"/>
    </row>
    <row r="249" ht="12.0" customHeight="1">
      <c r="A249" s="413"/>
      <c r="B249" s="413"/>
      <c r="C249" s="414"/>
      <c r="D249" s="413"/>
      <c r="E249" s="413"/>
      <c r="F249" s="413"/>
      <c r="G249" s="413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  <c r="T249" s="413"/>
      <c r="U249" s="413"/>
      <c r="V249" s="413"/>
      <c r="W249" s="413"/>
      <c r="X249" s="413"/>
      <c r="Y249" s="413"/>
      <c r="Z249" s="413"/>
    </row>
    <row r="250" ht="12.0" customHeight="1">
      <c r="A250" s="413"/>
      <c r="B250" s="413"/>
      <c r="C250" s="414"/>
      <c r="D250" s="413"/>
      <c r="E250" s="413"/>
      <c r="F250" s="413"/>
      <c r="G250" s="413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</row>
    <row r="251" ht="12.0" customHeight="1">
      <c r="A251" s="413"/>
      <c r="B251" s="413"/>
      <c r="C251" s="414"/>
      <c r="D251" s="413"/>
      <c r="E251" s="413"/>
      <c r="F251" s="413"/>
      <c r="G251" s="413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  <c r="T251" s="413"/>
      <c r="U251" s="413"/>
      <c r="V251" s="413"/>
      <c r="W251" s="413"/>
      <c r="X251" s="413"/>
      <c r="Y251" s="413"/>
      <c r="Z251" s="413"/>
    </row>
    <row r="252" ht="12.0" customHeight="1">
      <c r="A252" s="413"/>
      <c r="B252" s="413"/>
      <c r="C252" s="414"/>
      <c r="D252" s="413"/>
      <c r="E252" s="413"/>
      <c r="F252" s="413"/>
      <c r="G252" s="413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  <c r="T252" s="413"/>
      <c r="U252" s="413"/>
      <c r="V252" s="413"/>
      <c r="W252" s="413"/>
      <c r="X252" s="413"/>
      <c r="Y252" s="413"/>
      <c r="Z252" s="413"/>
    </row>
    <row r="253" ht="12.0" customHeight="1">
      <c r="A253" s="413"/>
      <c r="B253" s="413"/>
      <c r="C253" s="414"/>
      <c r="D253" s="413"/>
      <c r="E253" s="413"/>
      <c r="F253" s="413"/>
      <c r="G253" s="413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  <c r="T253" s="413"/>
      <c r="U253" s="413"/>
      <c r="V253" s="413"/>
      <c r="W253" s="413"/>
      <c r="X253" s="413"/>
      <c r="Y253" s="413"/>
      <c r="Z253" s="413"/>
    </row>
    <row r="254" ht="12.0" customHeight="1">
      <c r="A254" s="413"/>
      <c r="B254" s="413"/>
      <c r="C254" s="414"/>
      <c r="D254" s="413"/>
      <c r="E254" s="413"/>
      <c r="F254" s="413"/>
      <c r="G254" s="413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  <c r="T254" s="413"/>
      <c r="U254" s="413"/>
      <c r="V254" s="413"/>
      <c r="W254" s="413"/>
      <c r="X254" s="413"/>
      <c r="Y254" s="413"/>
      <c r="Z254" s="413"/>
    </row>
    <row r="255" ht="12.0" customHeight="1">
      <c r="A255" s="413"/>
      <c r="B255" s="413"/>
      <c r="C255" s="414"/>
      <c r="D255" s="413"/>
      <c r="E255" s="413"/>
      <c r="F255" s="413"/>
      <c r="G255" s="413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  <c r="T255" s="413"/>
      <c r="U255" s="413"/>
      <c r="V255" s="413"/>
      <c r="W255" s="413"/>
      <c r="X255" s="413"/>
      <c r="Y255" s="413"/>
      <c r="Z255" s="413"/>
    </row>
    <row r="256" ht="12.0" customHeight="1">
      <c r="A256" s="413"/>
      <c r="B256" s="413"/>
      <c r="C256" s="414"/>
      <c r="D256" s="413"/>
      <c r="E256" s="413"/>
      <c r="F256" s="413"/>
      <c r="G256" s="413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  <c r="T256" s="413"/>
      <c r="U256" s="413"/>
      <c r="V256" s="413"/>
      <c r="W256" s="413"/>
      <c r="X256" s="413"/>
      <c r="Y256" s="413"/>
      <c r="Z256" s="413"/>
    </row>
    <row r="257" ht="12.0" customHeight="1">
      <c r="A257" s="413"/>
      <c r="B257" s="413"/>
      <c r="C257" s="414"/>
      <c r="D257" s="413"/>
      <c r="E257" s="413"/>
      <c r="F257" s="413"/>
      <c r="G257" s="413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  <c r="T257" s="413"/>
      <c r="U257" s="413"/>
      <c r="V257" s="413"/>
      <c r="W257" s="413"/>
      <c r="X257" s="413"/>
      <c r="Y257" s="413"/>
      <c r="Z257" s="413"/>
    </row>
    <row r="258" ht="12.0" customHeight="1">
      <c r="A258" s="413"/>
      <c r="B258" s="413"/>
      <c r="C258" s="414"/>
      <c r="D258" s="413"/>
      <c r="E258" s="413"/>
      <c r="F258" s="413"/>
      <c r="G258" s="413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  <c r="T258" s="413"/>
      <c r="U258" s="413"/>
      <c r="V258" s="413"/>
      <c r="W258" s="413"/>
      <c r="X258" s="413"/>
      <c r="Y258" s="413"/>
      <c r="Z258" s="413"/>
    </row>
    <row r="259" ht="12.0" customHeight="1">
      <c r="A259" s="413"/>
      <c r="B259" s="413"/>
      <c r="C259" s="414"/>
      <c r="D259" s="413"/>
      <c r="E259" s="413"/>
      <c r="F259" s="413"/>
      <c r="G259" s="413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  <c r="T259" s="413"/>
      <c r="U259" s="413"/>
      <c r="V259" s="413"/>
      <c r="W259" s="413"/>
      <c r="X259" s="413"/>
      <c r="Y259" s="413"/>
      <c r="Z259" s="413"/>
    </row>
    <row r="260" ht="12.0" customHeight="1">
      <c r="A260" s="413"/>
      <c r="B260" s="413"/>
      <c r="C260" s="414"/>
      <c r="D260" s="413"/>
      <c r="E260" s="413"/>
      <c r="F260" s="413"/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413"/>
      <c r="U260" s="413"/>
      <c r="V260" s="413"/>
      <c r="W260" s="413"/>
      <c r="X260" s="413"/>
      <c r="Y260" s="413"/>
      <c r="Z260" s="413"/>
    </row>
    <row r="261" ht="12.0" customHeight="1">
      <c r="A261" s="413"/>
      <c r="B261" s="413"/>
      <c r="C261" s="414"/>
      <c r="D261" s="413"/>
      <c r="E261" s="413"/>
      <c r="F261" s="413"/>
      <c r="G261" s="413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  <c r="T261" s="413"/>
      <c r="U261" s="413"/>
      <c r="V261" s="413"/>
      <c r="W261" s="413"/>
      <c r="X261" s="413"/>
      <c r="Y261" s="413"/>
      <c r="Z261" s="413"/>
    </row>
    <row r="262" ht="12.0" customHeight="1">
      <c r="A262" s="413"/>
      <c r="B262" s="413"/>
      <c r="C262" s="414"/>
      <c r="D262" s="413"/>
      <c r="E262" s="413"/>
      <c r="F262" s="413"/>
      <c r="G262" s="413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  <c r="T262" s="413"/>
      <c r="U262" s="413"/>
      <c r="V262" s="413"/>
      <c r="W262" s="413"/>
      <c r="X262" s="413"/>
      <c r="Y262" s="413"/>
      <c r="Z262" s="413"/>
    </row>
    <row r="263" ht="12.0" customHeight="1">
      <c r="A263" s="413"/>
      <c r="B263" s="413"/>
      <c r="C263" s="414"/>
      <c r="D263" s="413"/>
      <c r="E263" s="413"/>
      <c r="F263" s="413"/>
      <c r="G263" s="413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  <c r="T263" s="413"/>
      <c r="U263" s="413"/>
      <c r="V263" s="413"/>
      <c r="W263" s="413"/>
      <c r="X263" s="413"/>
      <c r="Y263" s="413"/>
      <c r="Z263" s="413"/>
    </row>
    <row r="264" ht="12.0" customHeight="1">
      <c r="A264" s="413"/>
      <c r="B264" s="413"/>
      <c r="C264" s="414"/>
      <c r="D264" s="413"/>
      <c r="E264" s="413"/>
      <c r="F264" s="413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</row>
    <row r="265" ht="12.0" customHeight="1">
      <c r="A265" s="413"/>
      <c r="B265" s="413"/>
      <c r="C265" s="414"/>
      <c r="D265" s="413"/>
      <c r="E265" s="413"/>
      <c r="F265" s="413"/>
      <c r="G265" s="413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  <c r="T265" s="413"/>
      <c r="U265" s="413"/>
      <c r="V265" s="413"/>
      <c r="W265" s="413"/>
      <c r="X265" s="413"/>
      <c r="Y265" s="413"/>
      <c r="Z265" s="413"/>
    </row>
    <row r="266" ht="12.0" customHeight="1">
      <c r="A266" s="413"/>
      <c r="B266" s="413"/>
      <c r="C266" s="414"/>
      <c r="D266" s="413"/>
      <c r="E266" s="413"/>
      <c r="F266" s="413"/>
      <c r="G266" s="413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</row>
    <row r="267" ht="12.0" customHeight="1">
      <c r="A267" s="413"/>
      <c r="B267" s="413"/>
      <c r="C267" s="414"/>
      <c r="D267" s="413"/>
      <c r="E267" s="413"/>
      <c r="F267" s="413"/>
      <c r="G267" s="413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  <c r="T267" s="413"/>
      <c r="U267" s="413"/>
      <c r="V267" s="413"/>
      <c r="W267" s="413"/>
      <c r="X267" s="413"/>
      <c r="Y267" s="413"/>
      <c r="Z267" s="413"/>
    </row>
    <row r="268" ht="12.0" customHeight="1">
      <c r="A268" s="413"/>
      <c r="B268" s="413"/>
      <c r="C268" s="414"/>
      <c r="D268" s="413"/>
      <c r="E268" s="413"/>
      <c r="F268" s="413"/>
      <c r="G268" s="413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  <c r="T268" s="413"/>
      <c r="U268" s="413"/>
      <c r="V268" s="413"/>
      <c r="W268" s="413"/>
      <c r="X268" s="413"/>
      <c r="Y268" s="413"/>
      <c r="Z268" s="413"/>
    </row>
    <row r="269" ht="12.0" customHeight="1">
      <c r="A269" s="413"/>
      <c r="B269" s="413"/>
      <c r="C269" s="414"/>
      <c r="D269" s="413"/>
      <c r="E269" s="413"/>
      <c r="F269" s="413"/>
      <c r="G269" s="413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  <c r="T269" s="413"/>
      <c r="U269" s="413"/>
      <c r="V269" s="413"/>
      <c r="W269" s="413"/>
      <c r="X269" s="413"/>
      <c r="Y269" s="413"/>
      <c r="Z269" s="413"/>
    </row>
    <row r="270" ht="12.0" customHeight="1">
      <c r="A270" s="413"/>
      <c r="B270" s="413"/>
      <c r="C270" s="414"/>
      <c r="D270" s="413"/>
      <c r="E270" s="413"/>
      <c r="F270" s="413"/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413"/>
      <c r="U270" s="413"/>
      <c r="V270" s="413"/>
      <c r="W270" s="413"/>
      <c r="X270" s="413"/>
      <c r="Y270" s="413"/>
      <c r="Z270" s="413"/>
    </row>
    <row r="271" ht="12.0" customHeight="1">
      <c r="A271" s="413"/>
      <c r="B271" s="413"/>
      <c r="C271" s="414"/>
      <c r="D271" s="413"/>
      <c r="E271" s="413"/>
      <c r="F271" s="413"/>
      <c r="G271" s="413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  <c r="T271" s="413"/>
      <c r="U271" s="413"/>
      <c r="V271" s="413"/>
      <c r="W271" s="413"/>
      <c r="X271" s="413"/>
      <c r="Y271" s="413"/>
      <c r="Z271" s="413"/>
    </row>
    <row r="272" ht="12.0" customHeight="1">
      <c r="A272" s="413"/>
      <c r="B272" s="413"/>
      <c r="C272" s="414"/>
      <c r="D272" s="413"/>
      <c r="E272" s="413"/>
      <c r="F272" s="413"/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3"/>
      <c r="U272" s="413"/>
      <c r="V272" s="413"/>
      <c r="W272" s="413"/>
      <c r="X272" s="413"/>
      <c r="Y272" s="413"/>
      <c r="Z272" s="413"/>
    </row>
    <row r="273" ht="12.0" customHeight="1">
      <c r="A273" s="413"/>
      <c r="B273" s="413"/>
      <c r="C273" s="414"/>
      <c r="D273" s="413"/>
      <c r="E273" s="413"/>
      <c r="F273" s="413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3"/>
      <c r="U273" s="413"/>
      <c r="V273" s="413"/>
      <c r="W273" s="413"/>
      <c r="X273" s="413"/>
      <c r="Y273" s="413"/>
      <c r="Z273" s="413"/>
    </row>
    <row r="274" ht="12.0" customHeight="1">
      <c r="A274" s="413"/>
      <c r="B274" s="413"/>
      <c r="C274" s="414"/>
      <c r="D274" s="413"/>
      <c r="E274" s="413"/>
      <c r="F274" s="413"/>
      <c r="G274" s="413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  <c r="T274" s="413"/>
      <c r="U274" s="413"/>
      <c r="V274" s="413"/>
      <c r="W274" s="413"/>
      <c r="X274" s="413"/>
      <c r="Y274" s="413"/>
      <c r="Z274" s="413"/>
    </row>
    <row r="275" ht="12.0" customHeight="1">
      <c r="A275" s="413"/>
      <c r="B275" s="413"/>
      <c r="C275" s="414"/>
      <c r="D275" s="413"/>
      <c r="E275" s="413"/>
      <c r="F275" s="413"/>
      <c r="G275" s="413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  <c r="T275" s="413"/>
      <c r="U275" s="413"/>
      <c r="V275" s="413"/>
      <c r="W275" s="413"/>
      <c r="X275" s="413"/>
      <c r="Y275" s="413"/>
      <c r="Z275" s="413"/>
    </row>
    <row r="276" ht="12.0" customHeight="1">
      <c r="A276" s="413"/>
      <c r="B276" s="413"/>
      <c r="C276" s="414"/>
      <c r="D276" s="413"/>
      <c r="E276" s="413"/>
      <c r="F276" s="413"/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  <c r="T276" s="413"/>
      <c r="U276" s="413"/>
      <c r="V276" s="413"/>
      <c r="W276" s="413"/>
      <c r="X276" s="413"/>
      <c r="Y276" s="413"/>
      <c r="Z276" s="413"/>
    </row>
    <row r="277" ht="12.0" customHeight="1">
      <c r="A277" s="413"/>
      <c r="B277" s="413"/>
      <c r="C277" s="414"/>
      <c r="D277" s="413"/>
      <c r="E277" s="413"/>
      <c r="F277" s="413"/>
      <c r="G277" s="413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  <c r="T277" s="413"/>
      <c r="U277" s="413"/>
      <c r="V277" s="413"/>
      <c r="W277" s="413"/>
      <c r="X277" s="413"/>
      <c r="Y277" s="413"/>
      <c r="Z277" s="413"/>
    </row>
    <row r="278" ht="12.0" customHeight="1">
      <c r="A278" s="413"/>
      <c r="B278" s="413"/>
      <c r="C278" s="414"/>
      <c r="D278" s="413"/>
      <c r="E278" s="413"/>
      <c r="F278" s="413"/>
      <c r="G278" s="413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  <c r="T278" s="413"/>
      <c r="U278" s="413"/>
      <c r="V278" s="413"/>
      <c r="W278" s="413"/>
      <c r="X278" s="413"/>
      <c r="Y278" s="413"/>
      <c r="Z278" s="413"/>
    </row>
    <row r="279" ht="12.0" customHeight="1">
      <c r="A279" s="413"/>
      <c r="B279" s="413"/>
      <c r="C279" s="414"/>
      <c r="D279" s="413"/>
      <c r="E279" s="413"/>
      <c r="F279" s="413"/>
      <c r="G279" s="413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  <c r="T279" s="413"/>
      <c r="U279" s="413"/>
      <c r="V279" s="413"/>
      <c r="W279" s="413"/>
      <c r="X279" s="413"/>
      <c r="Y279" s="413"/>
      <c r="Z279" s="413"/>
    </row>
    <row r="280" ht="12.0" customHeight="1">
      <c r="A280" s="413"/>
      <c r="B280" s="413"/>
      <c r="C280" s="414"/>
      <c r="D280" s="413"/>
      <c r="E280" s="413"/>
      <c r="F280" s="413"/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</row>
    <row r="281" ht="12.0" customHeight="1">
      <c r="A281" s="413"/>
      <c r="B281" s="413"/>
      <c r="C281" s="414"/>
      <c r="D281" s="413"/>
      <c r="E281" s="413"/>
      <c r="F281" s="413"/>
      <c r="G281" s="413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  <c r="T281" s="413"/>
      <c r="U281" s="413"/>
      <c r="V281" s="413"/>
      <c r="W281" s="413"/>
      <c r="X281" s="413"/>
      <c r="Y281" s="413"/>
      <c r="Z281" s="413"/>
    </row>
    <row r="282" ht="12.0" customHeight="1">
      <c r="A282" s="413"/>
      <c r="B282" s="413"/>
      <c r="C282" s="414"/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</row>
    <row r="283" ht="12.0" customHeight="1">
      <c r="A283" s="413"/>
      <c r="B283" s="413"/>
      <c r="C283" s="414"/>
      <c r="D283" s="413"/>
      <c r="E283" s="413"/>
      <c r="F283" s="413"/>
      <c r="G283" s="41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  <c r="T283" s="413"/>
      <c r="U283" s="413"/>
      <c r="V283" s="413"/>
      <c r="W283" s="413"/>
      <c r="X283" s="413"/>
      <c r="Y283" s="413"/>
      <c r="Z283" s="413"/>
    </row>
    <row r="284" ht="12.0" customHeight="1">
      <c r="A284" s="413"/>
      <c r="B284" s="413"/>
      <c r="C284" s="414"/>
      <c r="D284" s="413"/>
      <c r="E284" s="413"/>
      <c r="F284" s="413"/>
      <c r="G284" s="413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  <c r="T284" s="413"/>
      <c r="U284" s="413"/>
      <c r="V284" s="413"/>
      <c r="W284" s="413"/>
      <c r="X284" s="413"/>
      <c r="Y284" s="413"/>
      <c r="Z284" s="413"/>
    </row>
    <row r="285" ht="12.0" customHeight="1">
      <c r="A285" s="413"/>
      <c r="B285" s="413"/>
      <c r="C285" s="414"/>
      <c r="D285" s="413"/>
      <c r="E285" s="413"/>
      <c r="F285" s="413"/>
      <c r="G285" s="413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  <c r="T285" s="413"/>
      <c r="U285" s="413"/>
      <c r="V285" s="413"/>
      <c r="W285" s="413"/>
      <c r="X285" s="413"/>
      <c r="Y285" s="413"/>
      <c r="Z285" s="413"/>
    </row>
    <row r="286" ht="12.0" customHeight="1">
      <c r="A286" s="413"/>
      <c r="B286" s="413"/>
      <c r="C286" s="414"/>
      <c r="D286" s="413"/>
      <c r="E286" s="413"/>
      <c r="F286" s="413"/>
      <c r="G286" s="413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  <c r="T286" s="413"/>
      <c r="U286" s="413"/>
      <c r="V286" s="413"/>
      <c r="W286" s="413"/>
      <c r="X286" s="413"/>
      <c r="Y286" s="413"/>
      <c r="Z286" s="413"/>
    </row>
    <row r="287" ht="12.0" customHeight="1">
      <c r="A287" s="413"/>
      <c r="B287" s="413"/>
      <c r="C287" s="414"/>
      <c r="D287" s="413"/>
      <c r="E287" s="413"/>
      <c r="F287" s="413"/>
      <c r="G287" s="413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  <c r="T287" s="413"/>
      <c r="U287" s="413"/>
      <c r="V287" s="413"/>
      <c r="W287" s="413"/>
      <c r="X287" s="413"/>
      <c r="Y287" s="413"/>
      <c r="Z287" s="413"/>
    </row>
    <row r="288" ht="12.0" customHeight="1">
      <c r="A288" s="413"/>
      <c r="B288" s="413"/>
      <c r="C288" s="414"/>
      <c r="D288" s="413"/>
      <c r="E288" s="413"/>
      <c r="F288" s="413"/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  <c r="W288" s="413"/>
      <c r="X288" s="413"/>
      <c r="Y288" s="413"/>
      <c r="Z288" s="413"/>
    </row>
    <row r="289" ht="12.0" customHeight="1">
      <c r="A289" s="413"/>
      <c r="B289" s="413"/>
      <c r="C289" s="414"/>
      <c r="D289" s="413"/>
      <c r="E289" s="413"/>
      <c r="F289" s="413"/>
      <c r="G289" s="413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  <c r="T289" s="413"/>
      <c r="U289" s="413"/>
      <c r="V289" s="413"/>
      <c r="W289" s="413"/>
      <c r="X289" s="413"/>
      <c r="Y289" s="413"/>
      <c r="Z289" s="413"/>
    </row>
    <row r="290" ht="12.0" customHeight="1">
      <c r="A290" s="413"/>
      <c r="B290" s="413"/>
      <c r="C290" s="414"/>
      <c r="D290" s="413"/>
      <c r="E290" s="413"/>
      <c r="F290" s="413"/>
      <c r="G290" s="413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  <c r="T290" s="413"/>
      <c r="U290" s="413"/>
      <c r="V290" s="413"/>
      <c r="W290" s="413"/>
      <c r="X290" s="413"/>
      <c r="Y290" s="413"/>
      <c r="Z290" s="413"/>
    </row>
    <row r="291" ht="12.0" customHeight="1">
      <c r="A291" s="413"/>
      <c r="B291" s="413"/>
      <c r="C291" s="414"/>
      <c r="D291" s="413"/>
      <c r="E291" s="413"/>
      <c r="F291" s="413"/>
      <c r="G291" s="413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  <c r="T291" s="413"/>
      <c r="U291" s="413"/>
      <c r="V291" s="413"/>
      <c r="W291" s="413"/>
      <c r="X291" s="413"/>
      <c r="Y291" s="413"/>
      <c r="Z291" s="413"/>
    </row>
    <row r="292" ht="12.0" customHeight="1">
      <c r="A292" s="413"/>
      <c r="B292" s="413"/>
      <c r="C292" s="414"/>
      <c r="D292" s="413"/>
      <c r="E292" s="413"/>
      <c r="F292" s="413"/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  <c r="T292" s="413"/>
      <c r="U292" s="413"/>
      <c r="V292" s="413"/>
      <c r="W292" s="413"/>
      <c r="X292" s="413"/>
      <c r="Y292" s="413"/>
      <c r="Z292" s="413"/>
    </row>
    <row r="293" ht="12.0" customHeight="1">
      <c r="A293" s="413"/>
      <c r="B293" s="413"/>
      <c r="C293" s="414"/>
      <c r="D293" s="413"/>
      <c r="E293" s="413"/>
      <c r="F293" s="413"/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  <c r="T293" s="413"/>
      <c r="U293" s="413"/>
      <c r="V293" s="413"/>
      <c r="W293" s="413"/>
      <c r="X293" s="413"/>
      <c r="Y293" s="413"/>
      <c r="Z293" s="413"/>
    </row>
    <row r="294" ht="12.0" customHeight="1">
      <c r="A294" s="413"/>
      <c r="B294" s="413"/>
      <c r="C294" s="414"/>
      <c r="D294" s="413"/>
      <c r="E294" s="413"/>
      <c r="F294" s="413"/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  <c r="T294" s="413"/>
      <c r="U294" s="413"/>
      <c r="V294" s="413"/>
      <c r="W294" s="413"/>
      <c r="X294" s="413"/>
      <c r="Y294" s="413"/>
      <c r="Z294" s="413"/>
    </row>
    <row r="295" ht="12.0" customHeight="1">
      <c r="A295" s="413"/>
      <c r="B295" s="413"/>
      <c r="C295" s="414"/>
      <c r="D295" s="413"/>
      <c r="E295" s="413"/>
      <c r="F295" s="413"/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  <c r="T295" s="413"/>
      <c r="U295" s="413"/>
      <c r="V295" s="413"/>
      <c r="W295" s="413"/>
      <c r="X295" s="413"/>
      <c r="Y295" s="413"/>
      <c r="Z295" s="413"/>
    </row>
    <row r="296" ht="12.0" customHeight="1">
      <c r="A296" s="413"/>
      <c r="B296" s="413"/>
      <c r="C296" s="414"/>
      <c r="D296" s="413"/>
      <c r="E296" s="413"/>
      <c r="F296" s="413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</row>
    <row r="297" ht="12.0" customHeight="1">
      <c r="A297" s="413"/>
      <c r="B297" s="413"/>
      <c r="C297" s="414"/>
      <c r="D297" s="413"/>
      <c r="E297" s="413"/>
      <c r="F297" s="413"/>
      <c r="G297" s="413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  <c r="T297" s="413"/>
      <c r="U297" s="413"/>
      <c r="V297" s="413"/>
      <c r="W297" s="413"/>
      <c r="X297" s="413"/>
      <c r="Y297" s="413"/>
      <c r="Z297" s="413"/>
    </row>
    <row r="298" ht="12.0" customHeight="1">
      <c r="A298" s="413"/>
      <c r="B298" s="413"/>
      <c r="C298" s="414"/>
      <c r="D298" s="413"/>
      <c r="E298" s="413"/>
      <c r="F298" s="413"/>
      <c r="G298" s="413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  <c r="T298" s="413"/>
      <c r="U298" s="413"/>
      <c r="V298" s="413"/>
      <c r="W298" s="413"/>
      <c r="X298" s="413"/>
      <c r="Y298" s="413"/>
      <c r="Z298" s="413"/>
    </row>
    <row r="299" ht="12.0" customHeight="1">
      <c r="A299" s="413"/>
      <c r="B299" s="413"/>
      <c r="C299" s="414"/>
      <c r="D299" s="413"/>
      <c r="E299" s="413"/>
      <c r="F299" s="413"/>
      <c r="G299" s="413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  <c r="T299" s="413"/>
      <c r="U299" s="413"/>
      <c r="V299" s="413"/>
      <c r="W299" s="413"/>
      <c r="X299" s="413"/>
      <c r="Y299" s="413"/>
      <c r="Z299" s="413"/>
    </row>
    <row r="300" ht="12.0" customHeight="1">
      <c r="A300" s="413"/>
      <c r="B300" s="413"/>
      <c r="C300" s="414"/>
      <c r="D300" s="413"/>
      <c r="E300" s="413"/>
      <c r="F300" s="413"/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  <c r="T300" s="413"/>
      <c r="U300" s="413"/>
      <c r="V300" s="413"/>
      <c r="W300" s="413"/>
      <c r="X300" s="413"/>
      <c r="Y300" s="413"/>
      <c r="Z300" s="413"/>
    </row>
    <row r="301" ht="12.0" customHeight="1">
      <c r="A301" s="413"/>
      <c r="B301" s="413"/>
      <c r="C301" s="414"/>
      <c r="D301" s="413"/>
      <c r="E301" s="413"/>
      <c r="F301" s="413"/>
      <c r="G301" s="413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</row>
    <row r="302" ht="12.0" customHeight="1">
      <c r="A302" s="413"/>
      <c r="B302" s="413"/>
      <c r="C302" s="414"/>
      <c r="D302" s="413"/>
      <c r="E302" s="413"/>
      <c r="F302" s="413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</row>
    <row r="303" ht="12.0" customHeight="1">
      <c r="A303" s="413"/>
      <c r="B303" s="413"/>
      <c r="C303" s="414"/>
      <c r="D303" s="413"/>
      <c r="E303" s="413"/>
      <c r="F303" s="413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</row>
    <row r="304" ht="12.0" customHeight="1">
      <c r="A304" s="413"/>
      <c r="B304" s="413"/>
      <c r="C304" s="414"/>
      <c r="D304" s="413"/>
      <c r="E304" s="413"/>
      <c r="F304" s="413"/>
      <c r="G304" s="413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  <c r="W304" s="413"/>
      <c r="X304" s="413"/>
      <c r="Y304" s="413"/>
      <c r="Z304" s="413"/>
    </row>
    <row r="305" ht="12.0" customHeight="1">
      <c r="A305" s="413"/>
      <c r="B305" s="413"/>
      <c r="C305" s="414"/>
      <c r="D305" s="413"/>
      <c r="E305" s="413"/>
      <c r="F305" s="413"/>
      <c r="G305" s="413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  <c r="W305" s="413"/>
      <c r="X305" s="413"/>
      <c r="Y305" s="413"/>
      <c r="Z305" s="413"/>
    </row>
    <row r="306" ht="12.0" customHeight="1">
      <c r="A306" s="413"/>
      <c r="B306" s="413"/>
      <c r="C306" s="414"/>
      <c r="D306" s="413"/>
      <c r="E306" s="413"/>
      <c r="F306" s="413"/>
      <c r="G306" s="413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  <c r="T306" s="413"/>
      <c r="U306" s="413"/>
      <c r="V306" s="413"/>
      <c r="W306" s="413"/>
      <c r="X306" s="413"/>
      <c r="Y306" s="413"/>
      <c r="Z306" s="413"/>
    </row>
    <row r="307" ht="12.0" customHeight="1">
      <c r="A307" s="413"/>
      <c r="B307" s="413"/>
      <c r="C307" s="414"/>
      <c r="D307" s="413"/>
      <c r="E307" s="413"/>
      <c r="F307" s="413"/>
      <c r="G307" s="413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  <c r="T307" s="413"/>
      <c r="U307" s="413"/>
      <c r="V307" s="413"/>
      <c r="W307" s="413"/>
      <c r="X307" s="413"/>
      <c r="Y307" s="413"/>
      <c r="Z307" s="413"/>
    </row>
    <row r="308" ht="12.0" customHeight="1">
      <c r="A308" s="413"/>
      <c r="B308" s="413"/>
      <c r="C308" s="414"/>
      <c r="D308" s="413"/>
      <c r="E308" s="413"/>
      <c r="F308" s="413"/>
      <c r="G308" s="413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  <c r="T308" s="413"/>
      <c r="U308" s="413"/>
      <c r="V308" s="413"/>
      <c r="W308" s="413"/>
      <c r="X308" s="413"/>
      <c r="Y308" s="413"/>
      <c r="Z308" s="413"/>
    </row>
    <row r="309" ht="12.0" customHeight="1">
      <c r="A309" s="413"/>
      <c r="B309" s="413"/>
      <c r="C309" s="414"/>
      <c r="D309" s="413"/>
      <c r="E309" s="413"/>
      <c r="F309" s="413"/>
      <c r="G309" s="413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413"/>
      <c r="W309" s="413"/>
      <c r="X309" s="413"/>
      <c r="Y309" s="413"/>
      <c r="Z309" s="413"/>
    </row>
    <row r="310" ht="12.0" customHeight="1">
      <c r="A310" s="413"/>
      <c r="B310" s="413"/>
      <c r="C310" s="414"/>
      <c r="D310" s="413"/>
      <c r="E310" s="413"/>
      <c r="F310" s="413"/>
      <c r="G310" s="413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413"/>
      <c r="W310" s="413"/>
      <c r="X310" s="413"/>
      <c r="Y310" s="413"/>
      <c r="Z310" s="413"/>
    </row>
    <row r="311" ht="12.0" customHeight="1">
      <c r="A311" s="413"/>
      <c r="B311" s="413"/>
      <c r="C311" s="414"/>
      <c r="D311" s="413"/>
      <c r="E311" s="413"/>
      <c r="F311" s="413"/>
      <c r="G311" s="413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413"/>
      <c r="W311" s="413"/>
      <c r="X311" s="413"/>
      <c r="Y311" s="413"/>
      <c r="Z311" s="413"/>
    </row>
    <row r="312" ht="12.0" customHeight="1">
      <c r="A312" s="413"/>
      <c r="B312" s="413"/>
      <c r="C312" s="414"/>
      <c r="D312" s="413"/>
      <c r="E312" s="413"/>
      <c r="F312" s="413"/>
      <c r="G312" s="413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413"/>
      <c r="W312" s="413"/>
      <c r="X312" s="413"/>
      <c r="Y312" s="413"/>
      <c r="Z312" s="413"/>
    </row>
    <row r="313" ht="12.0" customHeight="1">
      <c r="A313" s="413"/>
      <c r="B313" s="413"/>
      <c r="C313" s="414"/>
      <c r="D313" s="413"/>
      <c r="E313" s="413"/>
      <c r="F313" s="413"/>
      <c r="G313" s="4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413"/>
      <c r="W313" s="413"/>
      <c r="X313" s="413"/>
      <c r="Y313" s="413"/>
      <c r="Z313" s="413"/>
    </row>
    <row r="314" ht="12.0" customHeight="1">
      <c r="A314" s="413"/>
      <c r="B314" s="413"/>
      <c r="C314" s="414"/>
      <c r="D314" s="413"/>
      <c r="E314" s="413"/>
      <c r="F314" s="413"/>
      <c r="G314" s="413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413"/>
      <c r="W314" s="413"/>
      <c r="X314" s="413"/>
      <c r="Y314" s="413"/>
      <c r="Z314" s="413"/>
    </row>
    <row r="315" ht="12.0" customHeight="1">
      <c r="A315" s="413"/>
      <c r="B315" s="413"/>
      <c r="C315" s="414"/>
      <c r="D315" s="413"/>
      <c r="E315" s="413"/>
      <c r="F315" s="413"/>
      <c r="G315" s="413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413"/>
      <c r="W315" s="413"/>
      <c r="X315" s="413"/>
      <c r="Y315" s="413"/>
      <c r="Z315" s="413"/>
    </row>
    <row r="316" ht="12.0" customHeight="1">
      <c r="A316" s="413"/>
      <c r="B316" s="413"/>
      <c r="C316" s="414"/>
      <c r="D316" s="413"/>
      <c r="E316" s="413"/>
      <c r="F316" s="413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413"/>
      <c r="W316" s="413"/>
      <c r="X316" s="413"/>
      <c r="Y316" s="413"/>
      <c r="Z316" s="413"/>
    </row>
    <row r="317" ht="12.0" customHeight="1">
      <c r="A317" s="413"/>
      <c r="B317" s="413"/>
      <c r="C317" s="414"/>
      <c r="D317" s="413"/>
      <c r="E317" s="413"/>
      <c r="F317" s="413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413"/>
      <c r="W317" s="413"/>
      <c r="X317" s="413"/>
      <c r="Y317" s="413"/>
      <c r="Z317" s="413"/>
    </row>
    <row r="318" ht="12.0" customHeight="1">
      <c r="A318" s="413"/>
      <c r="B318" s="413"/>
      <c r="C318" s="414"/>
      <c r="D318" s="413"/>
      <c r="E318" s="413"/>
      <c r="F318" s="413"/>
      <c r="G318" s="413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413"/>
      <c r="W318" s="413"/>
      <c r="X318" s="413"/>
      <c r="Y318" s="413"/>
      <c r="Z318" s="413"/>
    </row>
    <row r="319" ht="12.0" customHeight="1">
      <c r="A319" s="413"/>
      <c r="B319" s="413"/>
      <c r="C319" s="414"/>
      <c r="D319" s="413"/>
      <c r="E319" s="413"/>
      <c r="F319" s="413"/>
      <c r="G319" s="413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413"/>
      <c r="W319" s="413"/>
      <c r="X319" s="413"/>
      <c r="Y319" s="413"/>
      <c r="Z319" s="413"/>
    </row>
    <row r="320" ht="12.0" customHeight="1">
      <c r="A320" s="413"/>
      <c r="B320" s="413"/>
      <c r="C320" s="414"/>
      <c r="D320" s="413"/>
      <c r="E320" s="413"/>
      <c r="F320" s="413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413"/>
      <c r="W320" s="413"/>
      <c r="X320" s="413"/>
      <c r="Y320" s="413"/>
      <c r="Z320" s="413"/>
    </row>
    <row r="321" ht="12.0" customHeight="1">
      <c r="A321" s="413"/>
      <c r="B321" s="413"/>
      <c r="C321" s="414"/>
      <c r="D321" s="413"/>
      <c r="E321" s="413"/>
      <c r="F321" s="413"/>
      <c r="G321" s="413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413"/>
      <c r="W321" s="413"/>
      <c r="X321" s="413"/>
      <c r="Y321" s="413"/>
      <c r="Z321" s="413"/>
    </row>
    <row r="322" ht="12.0" customHeight="1">
      <c r="A322" s="413"/>
      <c r="B322" s="413"/>
      <c r="C322" s="414"/>
      <c r="D322" s="413"/>
      <c r="E322" s="413"/>
      <c r="F322" s="413"/>
      <c r="G322" s="413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413"/>
      <c r="W322" s="413"/>
      <c r="X322" s="413"/>
      <c r="Y322" s="413"/>
      <c r="Z322" s="413"/>
    </row>
    <row r="323" ht="12.0" customHeight="1">
      <c r="A323" s="413"/>
      <c r="B323" s="413"/>
      <c r="C323" s="414"/>
      <c r="D323" s="413"/>
      <c r="E323" s="413"/>
      <c r="F323" s="413"/>
      <c r="G323" s="41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413"/>
      <c r="W323" s="413"/>
      <c r="X323" s="413"/>
      <c r="Y323" s="413"/>
      <c r="Z323" s="413"/>
    </row>
    <row r="324" ht="12.0" customHeight="1">
      <c r="A324" s="413"/>
      <c r="B324" s="413"/>
      <c r="C324" s="414"/>
      <c r="D324" s="413"/>
      <c r="E324" s="413"/>
      <c r="F324" s="413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413"/>
      <c r="W324" s="413"/>
      <c r="X324" s="413"/>
      <c r="Y324" s="413"/>
      <c r="Z324" s="413"/>
    </row>
    <row r="325" ht="12.0" customHeight="1">
      <c r="A325" s="413"/>
      <c r="B325" s="413"/>
      <c r="C325" s="414"/>
      <c r="D325" s="413"/>
      <c r="E325" s="413"/>
      <c r="F325" s="413"/>
      <c r="G325" s="413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413"/>
      <c r="W325" s="413"/>
      <c r="X325" s="413"/>
      <c r="Y325" s="413"/>
      <c r="Z325" s="413"/>
    </row>
    <row r="326" ht="12.0" customHeight="1">
      <c r="A326" s="413"/>
      <c r="B326" s="413"/>
      <c r="C326" s="414"/>
      <c r="D326" s="413"/>
      <c r="E326" s="413"/>
      <c r="F326" s="413"/>
      <c r="G326" s="413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413"/>
      <c r="W326" s="413"/>
      <c r="X326" s="413"/>
      <c r="Y326" s="413"/>
      <c r="Z326" s="413"/>
    </row>
    <row r="327" ht="12.0" customHeight="1">
      <c r="A327" s="413"/>
      <c r="B327" s="413"/>
      <c r="C327" s="414"/>
      <c r="D327" s="413"/>
      <c r="E327" s="413"/>
      <c r="F327" s="413"/>
      <c r="G327" s="413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  <c r="T327" s="413"/>
      <c r="U327" s="413"/>
      <c r="V327" s="413"/>
      <c r="W327" s="413"/>
      <c r="X327" s="413"/>
      <c r="Y327" s="413"/>
      <c r="Z327" s="413"/>
    </row>
    <row r="328" ht="12.0" customHeight="1">
      <c r="A328" s="413"/>
      <c r="B328" s="413"/>
      <c r="C328" s="414"/>
      <c r="D328" s="413"/>
      <c r="E328" s="413"/>
      <c r="F328" s="413"/>
      <c r="G328" s="413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  <c r="T328" s="413"/>
      <c r="U328" s="413"/>
      <c r="V328" s="413"/>
      <c r="W328" s="413"/>
      <c r="X328" s="413"/>
      <c r="Y328" s="413"/>
      <c r="Z328" s="413"/>
    </row>
    <row r="329" ht="12.0" customHeight="1">
      <c r="A329" s="413"/>
      <c r="B329" s="413"/>
      <c r="C329" s="414"/>
      <c r="D329" s="413"/>
      <c r="E329" s="413"/>
      <c r="F329" s="413"/>
      <c r="G329" s="413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  <c r="T329" s="413"/>
      <c r="U329" s="413"/>
      <c r="V329" s="413"/>
      <c r="W329" s="413"/>
      <c r="X329" s="413"/>
      <c r="Y329" s="413"/>
      <c r="Z329" s="413"/>
    </row>
    <row r="330" ht="12.0" customHeight="1">
      <c r="A330" s="413"/>
      <c r="B330" s="413"/>
      <c r="C330" s="414"/>
      <c r="D330" s="413"/>
      <c r="E330" s="413"/>
      <c r="F330" s="413"/>
      <c r="G330" s="413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  <c r="W330" s="413"/>
      <c r="X330" s="413"/>
      <c r="Y330" s="413"/>
      <c r="Z330" s="413"/>
    </row>
    <row r="331" ht="12.0" customHeight="1">
      <c r="A331" s="413"/>
      <c r="B331" s="413"/>
      <c r="C331" s="414"/>
      <c r="D331" s="413"/>
      <c r="E331" s="413"/>
      <c r="F331" s="413"/>
      <c r="G331" s="413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</row>
    <row r="332" ht="12.0" customHeight="1">
      <c r="A332" s="413"/>
      <c r="B332" s="413"/>
      <c r="C332" s="414"/>
      <c r="D332" s="413"/>
      <c r="E332" s="413"/>
      <c r="F332" s="413"/>
      <c r="G332" s="413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  <c r="T332" s="413"/>
      <c r="U332" s="413"/>
      <c r="V332" s="413"/>
      <c r="W332" s="413"/>
      <c r="X332" s="413"/>
      <c r="Y332" s="413"/>
      <c r="Z332" s="413"/>
    </row>
    <row r="333" ht="12.0" customHeight="1">
      <c r="A333" s="413"/>
      <c r="B333" s="413"/>
      <c r="C333" s="414"/>
      <c r="D333" s="413"/>
      <c r="E333" s="413"/>
      <c r="F333" s="413"/>
      <c r="G333" s="413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  <c r="T333" s="413"/>
      <c r="U333" s="413"/>
      <c r="V333" s="413"/>
      <c r="W333" s="413"/>
      <c r="X333" s="413"/>
      <c r="Y333" s="413"/>
      <c r="Z333" s="413"/>
    </row>
    <row r="334" ht="12.0" customHeight="1">
      <c r="A334" s="413"/>
      <c r="B334" s="413"/>
      <c r="C334" s="414"/>
      <c r="D334" s="413"/>
      <c r="E334" s="413"/>
      <c r="F334" s="413"/>
      <c r="G334" s="413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  <c r="T334" s="413"/>
      <c r="U334" s="413"/>
      <c r="V334" s="413"/>
      <c r="W334" s="413"/>
      <c r="X334" s="413"/>
      <c r="Y334" s="413"/>
      <c r="Z334" s="413"/>
    </row>
    <row r="335" ht="12.0" customHeight="1">
      <c r="A335" s="413"/>
      <c r="B335" s="413"/>
      <c r="C335" s="414"/>
      <c r="D335" s="413"/>
      <c r="E335" s="413"/>
      <c r="F335" s="413"/>
      <c r="G335" s="413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  <c r="T335" s="413"/>
      <c r="U335" s="413"/>
      <c r="V335" s="413"/>
      <c r="W335" s="413"/>
      <c r="X335" s="413"/>
      <c r="Y335" s="413"/>
      <c r="Z335" s="413"/>
    </row>
    <row r="336" ht="12.0" customHeight="1">
      <c r="A336" s="413"/>
      <c r="B336" s="413"/>
      <c r="C336" s="414"/>
      <c r="D336" s="413"/>
      <c r="E336" s="413"/>
      <c r="F336" s="413"/>
      <c r="G336" s="413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  <c r="T336" s="413"/>
      <c r="U336" s="413"/>
      <c r="V336" s="413"/>
      <c r="W336" s="413"/>
      <c r="X336" s="413"/>
      <c r="Y336" s="413"/>
      <c r="Z336" s="413"/>
    </row>
    <row r="337" ht="12.0" customHeight="1">
      <c r="A337" s="413"/>
      <c r="B337" s="413"/>
      <c r="C337" s="414"/>
      <c r="D337" s="413"/>
      <c r="E337" s="413"/>
      <c r="F337" s="413"/>
      <c r="G337" s="413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  <c r="T337" s="413"/>
      <c r="U337" s="413"/>
      <c r="V337" s="413"/>
      <c r="W337" s="413"/>
      <c r="X337" s="413"/>
      <c r="Y337" s="413"/>
      <c r="Z337" s="413"/>
    </row>
    <row r="338" ht="12.0" customHeight="1">
      <c r="A338" s="413"/>
      <c r="B338" s="413"/>
      <c r="C338" s="414"/>
      <c r="D338" s="413"/>
      <c r="E338" s="413"/>
      <c r="F338" s="413"/>
      <c r="G338" s="413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</row>
    <row r="339" ht="12.0" customHeight="1">
      <c r="A339" s="413"/>
      <c r="B339" s="413"/>
      <c r="C339" s="414"/>
      <c r="D339" s="413"/>
      <c r="E339" s="413"/>
      <c r="F339" s="413"/>
      <c r="G339" s="413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  <c r="T339" s="413"/>
      <c r="U339" s="413"/>
      <c r="V339" s="413"/>
      <c r="W339" s="413"/>
      <c r="X339" s="413"/>
      <c r="Y339" s="413"/>
      <c r="Z339" s="413"/>
    </row>
    <row r="340" ht="12.0" customHeight="1">
      <c r="A340" s="413"/>
      <c r="B340" s="413"/>
      <c r="C340" s="414"/>
      <c r="D340" s="413"/>
      <c r="E340" s="413"/>
      <c r="F340" s="413"/>
      <c r="G340" s="413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  <c r="T340" s="413"/>
      <c r="U340" s="413"/>
      <c r="V340" s="413"/>
      <c r="W340" s="413"/>
      <c r="X340" s="413"/>
      <c r="Y340" s="413"/>
      <c r="Z340" s="413"/>
    </row>
    <row r="341" ht="12.0" customHeight="1">
      <c r="A341" s="413"/>
      <c r="B341" s="413"/>
      <c r="C341" s="414"/>
      <c r="D341" s="413"/>
      <c r="E341" s="413"/>
      <c r="F341" s="413"/>
      <c r="G341" s="413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  <c r="T341" s="413"/>
      <c r="U341" s="413"/>
      <c r="V341" s="413"/>
      <c r="W341" s="413"/>
      <c r="X341" s="413"/>
      <c r="Y341" s="413"/>
      <c r="Z341" s="413"/>
    </row>
    <row r="342" ht="12.0" customHeight="1">
      <c r="A342" s="413"/>
      <c r="B342" s="413"/>
      <c r="C342" s="414"/>
      <c r="D342" s="413"/>
      <c r="E342" s="413"/>
      <c r="F342" s="413"/>
      <c r="G342" s="413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</row>
    <row r="343" ht="12.0" customHeight="1">
      <c r="A343" s="413"/>
      <c r="B343" s="413"/>
      <c r="C343" s="414"/>
      <c r="D343" s="413"/>
      <c r="E343" s="413"/>
      <c r="F343" s="413"/>
      <c r="G343" s="413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  <c r="T343" s="413"/>
      <c r="U343" s="413"/>
      <c r="V343" s="413"/>
      <c r="W343" s="413"/>
      <c r="X343" s="413"/>
      <c r="Y343" s="413"/>
      <c r="Z343" s="413"/>
    </row>
    <row r="344" ht="12.0" customHeight="1">
      <c r="A344" s="413"/>
      <c r="B344" s="413"/>
      <c r="C344" s="414"/>
      <c r="D344" s="413"/>
      <c r="E344" s="413"/>
      <c r="F344" s="413"/>
      <c r="G344" s="413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  <c r="T344" s="413"/>
      <c r="U344" s="413"/>
      <c r="V344" s="413"/>
      <c r="W344" s="413"/>
      <c r="X344" s="413"/>
      <c r="Y344" s="413"/>
      <c r="Z344" s="413"/>
    </row>
    <row r="345" ht="12.0" customHeight="1">
      <c r="A345" s="413"/>
      <c r="B345" s="413"/>
      <c r="C345" s="414"/>
      <c r="D345" s="413"/>
      <c r="E345" s="413"/>
      <c r="F345" s="413"/>
      <c r="G345" s="413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  <c r="T345" s="413"/>
      <c r="U345" s="413"/>
      <c r="V345" s="413"/>
      <c r="W345" s="413"/>
      <c r="X345" s="413"/>
      <c r="Y345" s="413"/>
      <c r="Z345" s="413"/>
    </row>
    <row r="346" ht="12.0" customHeight="1">
      <c r="A346" s="413"/>
      <c r="B346" s="413"/>
      <c r="C346" s="414"/>
      <c r="D346" s="413"/>
      <c r="E346" s="413"/>
      <c r="F346" s="413"/>
      <c r="G346" s="413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  <c r="T346" s="413"/>
      <c r="U346" s="413"/>
      <c r="V346" s="413"/>
      <c r="W346" s="413"/>
      <c r="X346" s="413"/>
      <c r="Y346" s="413"/>
      <c r="Z346" s="413"/>
    </row>
    <row r="347" ht="12.0" customHeight="1">
      <c r="A347" s="413"/>
      <c r="B347" s="413"/>
      <c r="C347" s="414"/>
      <c r="D347" s="413"/>
      <c r="E347" s="413"/>
      <c r="F347" s="413"/>
      <c r="G347" s="413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  <c r="T347" s="413"/>
      <c r="U347" s="413"/>
      <c r="V347" s="413"/>
      <c r="W347" s="413"/>
      <c r="X347" s="413"/>
      <c r="Y347" s="413"/>
      <c r="Z347" s="413"/>
    </row>
    <row r="348" ht="12.0" customHeight="1">
      <c r="A348" s="413"/>
      <c r="B348" s="413"/>
      <c r="C348" s="414"/>
      <c r="D348" s="413"/>
      <c r="E348" s="413"/>
      <c r="F348" s="413"/>
      <c r="G348" s="413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  <c r="T348" s="413"/>
      <c r="U348" s="413"/>
      <c r="V348" s="413"/>
      <c r="W348" s="413"/>
      <c r="X348" s="413"/>
      <c r="Y348" s="413"/>
      <c r="Z348" s="413"/>
    </row>
    <row r="349" ht="12.0" customHeight="1">
      <c r="A349" s="413"/>
      <c r="B349" s="413"/>
      <c r="C349" s="414"/>
      <c r="D349" s="413"/>
      <c r="E349" s="413"/>
      <c r="F349" s="413"/>
      <c r="G349" s="413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  <c r="T349" s="413"/>
      <c r="U349" s="413"/>
      <c r="V349" s="413"/>
      <c r="W349" s="413"/>
      <c r="X349" s="413"/>
      <c r="Y349" s="413"/>
      <c r="Z349" s="413"/>
    </row>
    <row r="350" ht="12.0" customHeight="1">
      <c r="A350" s="413"/>
      <c r="B350" s="413"/>
      <c r="C350" s="414"/>
      <c r="D350" s="413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  <c r="T350" s="413"/>
      <c r="U350" s="413"/>
      <c r="V350" s="413"/>
      <c r="W350" s="413"/>
      <c r="X350" s="413"/>
      <c r="Y350" s="413"/>
      <c r="Z350" s="413"/>
    </row>
    <row r="351" ht="12.0" customHeight="1">
      <c r="A351" s="413"/>
      <c r="B351" s="413"/>
      <c r="C351" s="414"/>
      <c r="D351" s="413"/>
      <c r="E351" s="413"/>
      <c r="F351" s="413"/>
      <c r="G351" s="413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</row>
    <row r="352" ht="12.0" customHeight="1">
      <c r="A352" s="413"/>
      <c r="B352" s="413"/>
      <c r="C352" s="414"/>
      <c r="D352" s="413"/>
      <c r="E352" s="413"/>
      <c r="F352" s="413"/>
      <c r="G352" s="413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  <c r="T352" s="413"/>
      <c r="U352" s="413"/>
      <c r="V352" s="413"/>
      <c r="W352" s="413"/>
      <c r="X352" s="413"/>
      <c r="Y352" s="413"/>
      <c r="Z352" s="413"/>
    </row>
    <row r="353" ht="12.0" customHeight="1">
      <c r="A353" s="413"/>
      <c r="B353" s="413"/>
      <c r="C353" s="414"/>
      <c r="D353" s="413"/>
      <c r="E353" s="413"/>
      <c r="F353" s="413"/>
      <c r="G353" s="413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  <c r="T353" s="413"/>
      <c r="U353" s="413"/>
      <c r="V353" s="413"/>
      <c r="W353" s="413"/>
      <c r="X353" s="413"/>
      <c r="Y353" s="413"/>
      <c r="Z353" s="413"/>
    </row>
    <row r="354" ht="12.0" customHeight="1">
      <c r="A354" s="413"/>
      <c r="B354" s="413"/>
      <c r="C354" s="414"/>
      <c r="D354" s="413"/>
      <c r="E354" s="413"/>
      <c r="F354" s="413"/>
      <c r="G354" s="413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  <c r="T354" s="413"/>
      <c r="U354" s="413"/>
      <c r="V354" s="413"/>
      <c r="W354" s="413"/>
      <c r="X354" s="413"/>
      <c r="Y354" s="413"/>
      <c r="Z354" s="413"/>
    </row>
    <row r="355" ht="12.0" customHeight="1">
      <c r="A355" s="413"/>
      <c r="B355" s="413"/>
      <c r="C355" s="414"/>
      <c r="D355" s="413"/>
      <c r="E355" s="413"/>
      <c r="F355" s="413"/>
      <c r="G355" s="413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  <c r="T355" s="413"/>
      <c r="U355" s="413"/>
      <c r="V355" s="413"/>
      <c r="W355" s="413"/>
      <c r="X355" s="413"/>
      <c r="Y355" s="413"/>
      <c r="Z355" s="413"/>
    </row>
    <row r="356" ht="12.0" customHeight="1">
      <c r="A356" s="413"/>
      <c r="B356" s="413"/>
      <c r="C356" s="414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  <c r="T356" s="413"/>
      <c r="U356" s="413"/>
      <c r="V356" s="413"/>
      <c r="W356" s="413"/>
      <c r="X356" s="413"/>
      <c r="Y356" s="413"/>
      <c r="Z356" s="413"/>
    </row>
    <row r="357" ht="12.0" customHeight="1">
      <c r="A357" s="413"/>
      <c r="B357" s="413"/>
      <c r="C357" s="414"/>
      <c r="D357" s="413"/>
      <c r="E357" s="413"/>
      <c r="F357" s="413"/>
      <c r="G357" s="413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  <c r="T357" s="413"/>
      <c r="U357" s="413"/>
      <c r="V357" s="413"/>
      <c r="W357" s="413"/>
      <c r="X357" s="413"/>
      <c r="Y357" s="413"/>
      <c r="Z357" s="413"/>
    </row>
    <row r="358" ht="12.0" customHeight="1">
      <c r="A358" s="413"/>
      <c r="B358" s="413"/>
      <c r="C358" s="414"/>
      <c r="D358" s="413"/>
      <c r="E358" s="413"/>
      <c r="F358" s="413"/>
      <c r="G358" s="413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  <c r="T358" s="413"/>
      <c r="U358" s="413"/>
      <c r="V358" s="413"/>
      <c r="W358" s="413"/>
      <c r="X358" s="413"/>
      <c r="Y358" s="413"/>
      <c r="Z358" s="413"/>
    </row>
    <row r="359" ht="12.0" customHeight="1">
      <c r="A359" s="413"/>
      <c r="B359" s="413"/>
      <c r="C359" s="414"/>
      <c r="D359" s="413"/>
      <c r="E359" s="413"/>
      <c r="F359" s="413"/>
      <c r="G359" s="413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  <c r="T359" s="413"/>
      <c r="U359" s="413"/>
      <c r="V359" s="413"/>
      <c r="W359" s="413"/>
      <c r="X359" s="413"/>
      <c r="Y359" s="413"/>
      <c r="Z359" s="413"/>
    </row>
    <row r="360" ht="12.0" customHeight="1">
      <c r="A360" s="413"/>
      <c r="B360" s="413"/>
      <c r="C360" s="414"/>
      <c r="D360" s="413"/>
      <c r="E360" s="413"/>
      <c r="F360" s="413"/>
      <c r="G360" s="413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  <c r="T360" s="413"/>
      <c r="U360" s="413"/>
      <c r="V360" s="413"/>
      <c r="W360" s="413"/>
      <c r="X360" s="413"/>
      <c r="Y360" s="413"/>
      <c r="Z360" s="413"/>
    </row>
    <row r="361" ht="12.0" customHeight="1">
      <c r="A361" s="413"/>
      <c r="B361" s="413"/>
      <c r="C361" s="414"/>
      <c r="D361" s="413"/>
      <c r="E361" s="413"/>
      <c r="F361" s="413"/>
      <c r="G361" s="413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  <c r="T361" s="413"/>
      <c r="U361" s="413"/>
      <c r="V361" s="413"/>
      <c r="W361" s="413"/>
      <c r="X361" s="413"/>
      <c r="Y361" s="413"/>
      <c r="Z361" s="413"/>
    </row>
    <row r="362" ht="12.0" customHeight="1">
      <c r="A362" s="413"/>
      <c r="B362" s="413"/>
      <c r="C362" s="414"/>
      <c r="D362" s="413"/>
      <c r="E362" s="413"/>
      <c r="F362" s="413"/>
      <c r="G362" s="413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  <c r="T362" s="413"/>
      <c r="U362" s="413"/>
      <c r="V362" s="413"/>
      <c r="W362" s="413"/>
      <c r="X362" s="413"/>
      <c r="Y362" s="413"/>
      <c r="Z362" s="413"/>
    </row>
    <row r="363" ht="12.0" customHeight="1">
      <c r="A363" s="413"/>
      <c r="B363" s="413"/>
      <c r="C363" s="414"/>
      <c r="D363" s="413"/>
      <c r="E363" s="413"/>
      <c r="F363" s="413"/>
      <c r="G363" s="413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  <c r="T363" s="413"/>
      <c r="U363" s="413"/>
      <c r="V363" s="413"/>
      <c r="W363" s="413"/>
      <c r="X363" s="413"/>
      <c r="Y363" s="413"/>
      <c r="Z363" s="413"/>
    </row>
    <row r="364" ht="12.0" customHeight="1">
      <c r="A364" s="413"/>
      <c r="B364" s="413"/>
      <c r="C364" s="414"/>
      <c r="D364" s="413"/>
      <c r="E364" s="413"/>
      <c r="F364" s="413"/>
      <c r="G364" s="413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  <c r="T364" s="413"/>
      <c r="U364" s="413"/>
      <c r="V364" s="413"/>
      <c r="W364" s="413"/>
      <c r="X364" s="413"/>
      <c r="Y364" s="413"/>
      <c r="Z364" s="413"/>
    </row>
    <row r="365" ht="12.0" customHeight="1">
      <c r="A365" s="413"/>
      <c r="B365" s="413"/>
      <c r="C365" s="414"/>
      <c r="D365" s="413"/>
      <c r="E365" s="413"/>
      <c r="F365" s="413"/>
      <c r="G365" s="413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  <c r="T365" s="413"/>
      <c r="U365" s="413"/>
      <c r="V365" s="413"/>
      <c r="W365" s="413"/>
      <c r="X365" s="413"/>
      <c r="Y365" s="413"/>
      <c r="Z365" s="413"/>
    </row>
    <row r="366" ht="12.0" customHeight="1">
      <c r="A366" s="413"/>
      <c r="B366" s="413"/>
      <c r="C366" s="414"/>
      <c r="D366" s="413"/>
      <c r="E366" s="413"/>
      <c r="F366" s="413"/>
      <c r="G366" s="413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  <c r="T366" s="413"/>
      <c r="U366" s="413"/>
      <c r="V366" s="413"/>
      <c r="W366" s="413"/>
      <c r="X366" s="413"/>
      <c r="Y366" s="413"/>
      <c r="Z366" s="413"/>
    </row>
    <row r="367" ht="12.0" customHeight="1">
      <c r="A367" s="413"/>
      <c r="B367" s="413"/>
      <c r="C367" s="414"/>
      <c r="D367" s="413"/>
      <c r="E367" s="413"/>
      <c r="F367" s="413"/>
      <c r="G367" s="413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  <c r="T367" s="413"/>
      <c r="U367" s="413"/>
      <c r="V367" s="413"/>
      <c r="W367" s="413"/>
      <c r="X367" s="413"/>
      <c r="Y367" s="413"/>
      <c r="Z367" s="413"/>
    </row>
    <row r="368" ht="12.0" customHeight="1">
      <c r="A368" s="413"/>
      <c r="B368" s="413"/>
      <c r="C368" s="414"/>
      <c r="D368" s="413"/>
      <c r="E368" s="413"/>
      <c r="F368" s="413"/>
      <c r="G368" s="413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  <c r="T368" s="413"/>
      <c r="U368" s="413"/>
      <c r="V368" s="413"/>
      <c r="W368" s="413"/>
      <c r="X368" s="413"/>
      <c r="Y368" s="413"/>
      <c r="Z368" s="413"/>
    </row>
    <row r="369" ht="12.0" customHeight="1">
      <c r="A369" s="413"/>
      <c r="B369" s="413"/>
      <c r="C369" s="414"/>
      <c r="D369" s="413"/>
      <c r="E369" s="413"/>
      <c r="F369" s="413"/>
      <c r="G369" s="413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  <c r="T369" s="413"/>
      <c r="U369" s="413"/>
      <c r="V369" s="413"/>
      <c r="W369" s="413"/>
      <c r="X369" s="413"/>
      <c r="Y369" s="413"/>
      <c r="Z369" s="413"/>
    </row>
    <row r="370" ht="12.0" customHeight="1">
      <c r="A370" s="413"/>
      <c r="B370" s="413"/>
      <c r="C370" s="414"/>
      <c r="D370" s="413"/>
      <c r="E370" s="413"/>
      <c r="F370" s="413"/>
      <c r="G370" s="413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  <c r="T370" s="413"/>
      <c r="U370" s="413"/>
      <c r="V370" s="413"/>
      <c r="W370" s="413"/>
      <c r="X370" s="413"/>
      <c r="Y370" s="413"/>
      <c r="Z370" s="413"/>
    </row>
    <row r="371" ht="12.0" customHeight="1">
      <c r="A371" s="413"/>
      <c r="B371" s="413"/>
      <c r="C371" s="414"/>
      <c r="D371" s="413"/>
      <c r="E371" s="413"/>
      <c r="F371" s="413"/>
      <c r="G371" s="413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  <c r="T371" s="413"/>
      <c r="U371" s="413"/>
      <c r="V371" s="413"/>
      <c r="W371" s="413"/>
      <c r="X371" s="413"/>
      <c r="Y371" s="413"/>
      <c r="Z371" s="413"/>
    </row>
    <row r="372" ht="12.0" customHeight="1">
      <c r="A372" s="413"/>
      <c r="B372" s="413"/>
      <c r="C372" s="414"/>
      <c r="D372" s="413"/>
      <c r="E372" s="413"/>
      <c r="F372" s="413"/>
      <c r="G372" s="413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  <c r="T372" s="413"/>
      <c r="U372" s="413"/>
      <c r="V372" s="413"/>
      <c r="W372" s="413"/>
      <c r="X372" s="413"/>
      <c r="Y372" s="413"/>
      <c r="Z372" s="413"/>
    </row>
    <row r="373" ht="12.0" customHeight="1">
      <c r="A373" s="413"/>
      <c r="B373" s="413"/>
      <c r="C373" s="414"/>
      <c r="D373" s="413"/>
      <c r="E373" s="413"/>
      <c r="F373" s="413"/>
      <c r="G373" s="413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  <c r="T373" s="413"/>
      <c r="U373" s="413"/>
      <c r="V373" s="413"/>
      <c r="W373" s="413"/>
      <c r="X373" s="413"/>
      <c r="Y373" s="413"/>
      <c r="Z373" s="413"/>
    </row>
    <row r="374" ht="12.0" customHeight="1">
      <c r="A374" s="413"/>
      <c r="B374" s="413"/>
      <c r="C374" s="414"/>
      <c r="D374" s="413"/>
      <c r="E374" s="413"/>
      <c r="F374" s="413"/>
      <c r="G374" s="413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  <c r="T374" s="413"/>
      <c r="U374" s="413"/>
      <c r="V374" s="413"/>
      <c r="W374" s="413"/>
      <c r="X374" s="413"/>
      <c r="Y374" s="413"/>
      <c r="Z374" s="413"/>
    </row>
    <row r="375" ht="12.0" customHeight="1">
      <c r="A375" s="413"/>
      <c r="B375" s="413"/>
      <c r="C375" s="414"/>
      <c r="D375" s="413"/>
      <c r="E375" s="413"/>
      <c r="F375" s="413"/>
      <c r="G375" s="413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  <c r="T375" s="413"/>
      <c r="U375" s="413"/>
      <c r="V375" s="413"/>
      <c r="W375" s="413"/>
      <c r="X375" s="413"/>
      <c r="Y375" s="413"/>
      <c r="Z375" s="413"/>
    </row>
    <row r="376" ht="12.0" customHeight="1">
      <c r="A376" s="413"/>
      <c r="B376" s="413"/>
      <c r="C376" s="414"/>
      <c r="D376" s="413"/>
      <c r="E376" s="413"/>
      <c r="F376" s="413"/>
      <c r="G376" s="413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  <c r="T376" s="413"/>
      <c r="U376" s="413"/>
      <c r="V376" s="413"/>
      <c r="W376" s="413"/>
      <c r="X376" s="413"/>
      <c r="Y376" s="413"/>
      <c r="Z376" s="413"/>
    </row>
    <row r="377" ht="12.0" customHeight="1">
      <c r="A377" s="413"/>
      <c r="B377" s="413"/>
      <c r="C377" s="414"/>
      <c r="D377" s="413"/>
      <c r="E377" s="413"/>
      <c r="F377" s="413"/>
      <c r="G377" s="413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  <c r="T377" s="413"/>
      <c r="U377" s="413"/>
      <c r="V377" s="413"/>
      <c r="W377" s="413"/>
      <c r="X377" s="413"/>
      <c r="Y377" s="413"/>
      <c r="Z377" s="413"/>
    </row>
    <row r="378" ht="12.0" customHeight="1">
      <c r="A378" s="413"/>
      <c r="B378" s="413"/>
      <c r="C378" s="414"/>
      <c r="D378" s="413"/>
      <c r="E378" s="413"/>
      <c r="F378" s="413"/>
      <c r="G378" s="413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  <c r="T378" s="413"/>
      <c r="U378" s="413"/>
      <c r="V378" s="413"/>
      <c r="W378" s="413"/>
      <c r="X378" s="413"/>
      <c r="Y378" s="413"/>
      <c r="Z378" s="413"/>
    </row>
    <row r="379" ht="12.0" customHeight="1">
      <c r="A379" s="413"/>
      <c r="B379" s="413"/>
      <c r="C379" s="414"/>
      <c r="D379" s="413"/>
      <c r="E379" s="413"/>
      <c r="F379" s="413"/>
      <c r="G379" s="413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  <c r="T379" s="413"/>
      <c r="U379" s="413"/>
      <c r="V379" s="413"/>
      <c r="W379" s="413"/>
      <c r="X379" s="413"/>
      <c r="Y379" s="413"/>
      <c r="Z379" s="413"/>
    </row>
    <row r="380" ht="12.0" customHeight="1">
      <c r="A380" s="413"/>
      <c r="B380" s="413"/>
      <c r="C380" s="414"/>
      <c r="D380" s="413"/>
      <c r="E380" s="413"/>
      <c r="F380" s="413"/>
      <c r="G380" s="413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  <c r="T380" s="413"/>
      <c r="U380" s="413"/>
      <c r="V380" s="413"/>
      <c r="W380" s="413"/>
      <c r="X380" s="413"/>
      <c r="Y380" s="413"/>
      <c r="Z380" s="413"/>
    </row>
    <row r="381" ht="12.0" customHeight="1">
      <c r="A381" s="413"/>
      <c r="B381" s="413"/>
      <c r="C381" s="414"/>
      <c r="D381" s="413"/>
      <c r="E381" s="413"/>
      <c r="F381" s="413"/>
      <c r="G381" s="413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  <c r="T381" s="413"/>
      <c r="U381" s="413"/>
      <c r="V381" s="413"/>
      <c r="W381" s="413"/>
      <c r="X381" s="413"/>
      <c r="Y381" s="413"/>
      <c r="Z381" s="413"/>
    </row>
    <row r="382" ht="12.0" customHeight="1">
      <c r="A382" s="413"/>
      <c r="B382" s="413"/>
      <c r="C382" s="414"/>
      <c r="D382" s="413"/>
      <c r="E382" s="413"/>
      <c r="F382" s="413"/>
      <c r="G382" s="413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  <c r="T382" s="413"/>
      <c r="U382" s="413"/>
      <c r="V382" s="413"/>
      <c r="W382" s="413"/>
      <c r="X382" s="413"/>
      <c r="Y382" s="413"/>
      <c r="Z382" s="413"/>
    </row>
    <row r="383" ht="12.0" customHeight="1">
      <c r="A383" s="413"/>
      <c r="B383" s="413"/>
      <c r="C383" s="414"/>
      <c r="D383" s="413"/>
      <c r="E383" s="413"/>
      <c r="F383" s="413"/>
      <c r="G383" s="413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  <c r="T383" s="413"/>
      <c r="U383" s="413"/>
      <c r="V383" s="413"/>
      <c r="W383" s="413"/>
      <c r="X383" s="413"/>
      <c r="Y383" s="413"/>
      <c r="Z383" s="413"/>
    </row>
    <row r="384" ht="12.0" customHeight="1">
      <c r="A384" s="413"/>
      <c r="B384" s="413"/>
      <c r="C384" s="414"/>
      <c r="D384" s="413"/>
      <c r="E384" s="413"/>
      <c r="F384" s="413"/>
      <c r="G384" s="413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  <c r="T384" s="413"/>
      <c r="U384" s="413"/>
      <c r="V384" s="413"/>
      <c r="W384" s="413"/>
      <c r="X384" s="413"/>
      <c r="Y384" s="413"/>
      <c r="Z384" s="413"/>
    </row>
    <row r="385" ht="12.0" customHeight="1">
      <c r="A385" s="413"/>
      <c r="B385" s="413"/>
      <c r="C385" s="414"/>
      <c r="D385" s="413"/>
      <c r="E385" s="413"/>
      <c r="F385" s="413"/>
      <c r="G385" s="413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  <c r="T385" s="413"/>
      <c r="U385" s="413"/>
      <c r="V385" s="413"/>
      <c r="W385" s="413"/>
      <c r="X385" s="413"/>
      <c r="Y385" s="413"/>
      <c r="Z385" s="413"/>
    </row>
    <row r="386" ht="12.0" customHeight="1">
      <c r="A386" s="413"/>
      <c r="B386" s="413"/>
      <c r="C386" s="414"/>
      <c r="D386" s="413"/>
      <c r="E386" s="413"/>
      <c r="F386" s="413"/>
      <c r="G386" s="413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  <c r="T386" s="413"/>
      <c r="U386" s="413"/>
      <c r="V386" s="413"/>
      <c r="W386" s="413"/>
      <c r="X386" s="413"/>
      <c r="Y386" s="413"/>
      <c r="Z386" s="413"/>
    </row>
    <row r="387" ht="12.0" customHeight="1">
      <c r="A387" s="413"/>
      <c r="B387" s="413"/>
      <c r="C387" s="414"/>
      <c r="D387" s="413"/>
      <c r="E387" s="413"/>
      <c r="F387" s="413"/>
      <c r="G387" s="413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</row>
    <row r="388" ht="12.0" customHeight="1">
      <c r="A388" s="413"/>
      <c r="B388" s="413"/>
      <c r="C388" s="414"/>
      <c r="D388" s="413"/>
      <c r="E388" s="413"/>
      <c r="F388" s="413"/>
      <c r="G388" s="413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</row>
    <row r="389" ht="12.0" customHeight="1">
      <c r="A389" s="413"/>
      <c r="B389" s="413"/>
      <c r="C389" s="414"/>
      <c r="D389" s="413"/>
      <c r="E389" s="413"/>
      <c r="F389" s="413"/>
      <c r="G389" s="413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</row>
    <row r="390" ht="12.0" customHeight="1">
      <c r="A390" s="413"/>
      <c r="B390" s="413"/>
      <c r="C390" s="414"/>
      <c r="D390" s="413"/>
      <c r="E390" s="413"/>
      <c r="F390" s="413"/>
      <c r="G390" s="413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</row>
    <row r="391" ht="12.0" customHeight="1">
      <c r="A391" s="413"/>
      <c r="B391" s="413"/>
      <c r="C391" s="414"/>
      <c r="D391" s="413"/>
      <c r="E391" s="413"/>
      <c r="F391" s="413"/>
      <c r="G391" s="413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  <c r="T391" s="413"/>
      <c r="U391" s="413"/>
      <c r="V391" s="413"/>
      <c r="W391" s="413"/>
      <c r="X391" s="413"/>
      <c r="Y391" s="413"/>
      <c r="Z391" s="413"/>
    </row>
    <row r="392" ht="12.0" customHeight="1">
      <c r="A392" s="413"/>
      <c r="B392" s="413"/>
      <c r="C392" s="414"/>
      <c r="D392" s="413"/>
      <c r="E392" s="413"/>
      <c r="F392" s="413"/>
      <c r="G392" s="413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  <c r="T392" s="413"/>
      <c r="U392" s="413"/>
      <c r="V392" s="413"/>
      <c r="W392" s="413"/>
      <c r="X392" s="413"/>
      <c r="Y392" s="413"/>
      <c r="Z392" s="413"/>
    </row>
    <row r="393" ht="12.0" customHeight="1">
      <c r="A393" s="413"/>
      <c r="B393" s="413"/>
      <c r="C393" s="414"/>
      <c r="D393" s="413"/>
      <c r="E393" s="413"/>
      <c r="F393" s="413"/>
      <c r="G393" s="413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  <c r="T393" s="413"/>
      <c r="U393" s="413"/>
      <c r="V393" s="413"/>
      <c r="W393" s="413"/>
      <c r="X393" s="413"/>
      <c r="Y393" s="413"/>
      <c r="Z393" s="413"/>
    </row>
    <row r="394" ht="12.0" customHeight="1">
      <c r="A394" s="413"/>
      <c r="B394" s="413"/>
      <c r="C394" s="414"/>
      <c r="D394" s="413"/>
      <c r="E394" s="413"/>
      <c r="F394" s="413"/>
      <c r="G394" s="413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  <c r="T394" s="413"/>
      <c r="U394" s="413"/>
      <c r="V394" s="413"/>
      <c r="W394" s="413"/>
      <c r="X394" s="413"/>
      <c r="Y394" s="413"/>
      <c r="Z394" s="413"/>
    </row>
    <row r="395" ht="12.0" customHeight="1">
      <c r="A395" s="413"/>
      <c r="B395" s="413"/>
      <c r="C395" s="414"/>
      <c r="D395" s="413"/>
      <c r="E395" s="413"/>
      <c r="F395" s="413"/>
      <c r="G395" s="413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  <c r="T395" s="413"/>
      <c r="U395" s="413"/>
      <c r="V395" s="413"/>
      <c r="W395" s="413"/>
      <c r="X395" s="413"/>
      <c r="Y395" s="413"/>
      <c r="Z395" s="413"/>
    </row>
    <row r="396" ht="12.0" customHeight="1">
      <c r="A396" s="413"/>
      <c r="B396" s="413"/>
      <c r="C396" s="414"/>
      <c r="D396" s="413"/>
      <c r="E396" s="413"/>
      <c r="F396" s="413"/>
      <c r="G396" s="413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  <c r="T396" s="413"/>
      <c r="U396" s="413"/>
      <c r="V396" s="413"/>
      <c r="W396" s="413"/>
      <c r="X396" s="413"/>
      <c r="Y396" s="413"/>
      <c r="Z396" s="413"/>
    </row>
    <row r="397" ht="12.0" customHeight="1">
      <c r="A397" s="413"/>
      <c r="B397" s="413"/>
      <c r="C397" s="414"/>
      <c r="D397" s="413"/>
      <c r="E397" s="413"/>
      <c r="F397" s="413"/>
      <c r="G397" s="413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  <c r="T397" s="413"/>
      <c r="U397" s="413"/>
      <c r="V397" s="413"/>
      <c r="W397" s="413"/>
      <c r="X397" s="413"/>
      <c r="Y397" s="413"/>
      <c r="Z397" s="413"/>
    </row>
    <row r="398" ht="12.0" customHeight="1">
      <c r="A398" s="413"/>
      <c r="B398" s="413"/>
      <c r="C398" s="414"/>
      <c r="D398" s="413"/>
      <c r="E398" s="413"/>
      <c r="F398" s="413"/>
      <c r="G398" s="413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  <c r="T398" s="413"/>
      <c r="U398" s="413"/>
      <c r="V398" s="413"/>
      <c r="W398" s="413"/>
      <c r="X398" s="413"/>
      <c r="Y398" s="413"/>
      <c r="Z398" s="413"/>
    </row>
    <row r="399" ht="12.0" customHeight="1">
      <c r="A399" s="413"/>
      <c r="B399" s="413"/>
      <c r="C399" s="414"/>
      <c r="D399" s="413"/>
      <c r="E399" s="413"/>
      <c r="F399" s="413"/>
      <c r="G399" s="413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  <c r="T399" s="413"/>
      <c r="U399" s="413"/>
      <c r="V399" s="413"/>
      <c r="W399" s="413"/>
      <c r="X399" s="413"/>
      <c r="Y399" s="413"/>
      <c r="Z399" s="413"/>
    </row>
    <row r="400" ht="12.0" customHeight="1">
      <c r="A400" s="413"/>
      <c r="B400" s="413"/>
      <c r="C400" s="414"/>
      <c r="D400" s="413"/>
      <c r="E400" s="413"/>
      <c r="F400" s="413"/>
      <c r="G400" s="413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  <c r="T400" s="413"/>
      <c r="U400" s="413"/>
      <c r="V400" s="413"/>
      <c r="W400" s="413"/>
      <c r="X400" s="413"/>
      <c r="Y400" s="413"/>
      <c r="Z400" s="413"/>
    </row>
    <row r="401" ht="12.0" customHeight="1">
      <c r="A401" s="413"/>
      <c r="B401" s="413"/>
      <c r="C401" s="414"/>
      <c r="D401" s="413"/>
      <c r="E401" s="413"/>
      <c r="F401" s="413"/>
      <c r="G401" s="413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  <c r="T401" s="413"/>
      <c r="U401" s="413"/>
      <c r="V401" s="413"/>
      <c r="W401" s="413"/>
      <c r="X401" s="413"/>
      <c r="Y401" s="413"/>
      <c r="Z401" s="413"/>
    </row>
    <row r="402" ht="12.0" customHeight="1">
      <c r="A402" s="413"/>
      <c r="B402" s="413"/>
      <c r="C402" s="414"/>
      <c r="D402" s="413"/>
      <c r="E402" s="413"/>
      <c r="F402" s="413"/>
      <c r="G402" s="413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  <c r="T402" s="413"/>
      <c r="U402" s="413"/>
      <c r="V402" s="413"/>
      <c r="W402" s="413"/>
      <c r="X402" s="413"/>
      <c r="Y402" s="413"/>
      <c r="Z402" s="413"/>
    </row>
    <row r="403" ht="12.0" customHeight="1">
      <c r="A403" s="413"/>
      <c r="B403" s="413"/>
      <c r="C403" s="414"/>
      <c r="D403" s="413"/>
      <c r="E403" s="413"/>
      <c r="F403" s="413"/>
      <c r="G403" s="413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  <c r="T403" s="413"/>
      <c r="U403" s="413"/>
      <c r="V403" s="413"/>
      <c r="W403" s="413"/>
      <c r="X403" s="413"/>
      <c r="Y403" s="413"/>
      <c r="Z403" s="413"/>
    </row>
    <row r="404" ht="12.0" customHeight="1">
      <c r="A404" s="413"/>
      <c r="B404" s="413"/>
      <c r="C404" s="414"/>
      <c r="D404" s="413"/>
      <c r="E404" s="413"/>
      <c r="F404" s="413"/>
      <c r="G404" s="413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  <c r="T404" s="413"/>
      <c r="U404" s="413"/>
      <c r="V404" s="413"/>
      <c r="W404" s="413"/>
      <c r="X404" s="413"/>
      <c r="Y404" s="413"/>
      <c r="Z404" s="413"/>
    </row>
    <row r="405" ht="12.0" customHeight="1">
      <c r="A405" s="413"/>
      <c r="B405" s="413"/>
      <c r="C405" s="414"/>
      <c r="D405" s="413"/>
      <c r="E405" s="413"/>
      <c r="F405" s="413"/>
      <c r="G405" s="413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  <c r="T405" s="413"/>
      <c r="U405" s="413"/>
      <c r="V405" s="413"/>
      <c r="W405" s="413"/>
      <c r="X405" s="413"/>
      <c r="Y405" s="413"/>
      <c r="Z405" s="413"/>
    </row>
    <row r="406" ht="12.0" customHeight="1">
      <c r="A406" s="413"/>
      <c r="B406" s="413"/>
      <c r="C406" s="414"/>
      <c r="D406" s="413"/>
      <c r="E406" s="413"/>
      <c r="F406" s="413"/>
      <c r="G406" s="413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  <c r="T406" s="413"/>
      <c r="U406" s="413"/>
      <c r="V406" s="413"/>
      <c r="W406" s="413"/>
      <c r="X406" s="413"/>
      <c r="Y406" s="413"/>
      <c r="Z406" s="413"/>
    </row>
    <row r="407" ht="12.0" customHeight="1">
      <c r="A407" s="413"/>
      <c r="B407" s="413"/>
      <c r="C407" s="414"/>
      <c r="D407" s="413"/>
      <c r="E407" s="413"/>
      <c r="F407" s="413"/>
      <c r="G407" s="413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  <c r="T407" s="413"/>
      <c r="U407" s="413"/>
      <c r="V407" s="413"/>
      <c r="W407" s="413"/>
      <c r="X407" s="413"/>
      <c r="Y407" s="413"/>
      <c r="Z407" s="413"/>
    </row>
    <row r="408" ht="12.0" customHeight="1">
      <c r="A408" s="413"/>
      <c r="B408" s="413"/>
      <c r="C408" s="414"/>
      <c r="D408" s="413"/>
      <c r="E408" s="413"/>
      <c r="F408" s="413"/>
      <c r="G408" s="413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  <c r="T408" s="413"/>
      <c r="U408" s="413"/>
      <c r="V408" s="413"/>
      <c r="W408" s="413"/>
      <c r="X408" s="413"/>
      <c r="Y408" s="413"/>
      <c r="Z408" s="413"/>
    </row>
    <row r="409" ht="12.0" customHeight="1">
      <c r="A409" s="413"/>
      <c r="B409" s="413"/>
      <c r="C409" s="414"/>
      <c r="D409" s="413"/>
      <c r="E409" s="413"/>
      <c r="F409" s="413"/>
      <c r="G409" s="413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  <c r="T409" s="413"/>
      <c r="U409" s="413"/>
      <c r="V409" s="413"/>
      <c r="W409" s="413"/>
      <c r="X409" s="413"/>
      <c r="Y409" s="413"/>
      <c r="Z409" s="413"/>
    </row>
    <row r="410" ht="12.0" customHeight="1">
      <c r="A410" s="413"/>
      <c r="B410" s="413"/>
      <c r="C410" s="414"/>
      <c r="D410" s="413"/>
      <c r="E410" s="413"/>
      <c r="F410" s="413"/>
      <c r="G410" s="413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  <c r="T410" s="413"/>
      <c r="U410" s="413"/>
      <c r="V410" s="413"/>
      <c r="W410" s="413"/>
      <c r="X410" s="413"/>
      <c r="Y410" s="413"/>
      <c r="Z410" s="413"/>
    </row>
    <row r="411" ht="12.0" customHeight="1">
      <c r="A411" s="413"/>
      <c r="B411" s="413"/>
      <c r="C411" s="414"/>
      <c r="D411" s="413"/>
      <c r="E411" s="413"/>
      <c r="F411" s="413"/>
      <c r="G411" s="413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  <c r="T411" s="413"/>
      <c r="U411" s="413"/>
      <c r="V411" s="413"/>
      <c r="W411" s="413"/>
      <c r="X411" s="413"/>
      <c r="Y411" s="413"/>
      <c r="Z411" s="413"/>
    </row>
    <row r="412" ht="12.0" customHeight="1">
      <c r="A412" s="413"/>
      <c r="B412" s="413"/>
      <c r="C412" s="414"/>
      <c r="D412" s="413"/>
      <c r="E412" s="413"/>
      <c r="F412" s="413"/>
      <c r="G412" s="413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  <c r="T412" s="413"/>
      <c r="U412" s="413"/>
      <c r="V412" s="413"/>
      <c r="W412" s="413"/>
      <c r="X412" s="413"/>
      <c r="Y412" s="413"/>
      <c r="Z412" s="413"/>
    </row>
    <row r="413" ht="12.0" customHeight="1">
      <c r="A413" s="413"/>
      <c r="B413" s="413"/>
      <c r="C413" s="414"/>
      <c r="D413" s="413"/>
      <c r="E413" s="413"/>
      <c r="F413" s="413"/>
      <c r="G413" s="413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</row>
    <row r="414" ht="12.0" customHeight="1">
      <c r="A414" s="413"/>
      <c r="B414" s="413"/>
      <c r="C414" s="414"/>
      <c r="D414" s="413"/>
      <c r="E414" s="413"/>
      <c r="F414" s="413"/>
      <c r="G414" s="413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  <c r="T414" s="413"/>
      <c r="U414" s="413"/>
      <c r="V414" s="413"/>
      <c r="W414" s="413"/>
      <c r="X414" s="413"/>
      <c r="Y414" s="413"/>
      <c r="Z414" s="413"/>
    </row>
    <row r="415" ht="12.0" customHeight="1">
      <c r="A415" s="413"/>
      <c r="B415" s="413"/>
      <c r="C415" s="414"/>
      <c r="D415" s="413"/>
      <c r="E415" s="413"/>
      <c r="F415" s="413"/>
      <c r="G415" s="413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  <c r="T415" s="413"/>
      <c r="U415" s="413"/>
      <c r="V415" s="413"/>
      <c r="W415" s="413"/>
      <c r="X415" s="413"/>
      <c r="Y415" s="413"/>
      <c r="Z415" s="413"/>
    </row>
    <row r="416" ht="12.0" customHeight="1">
      <c r="A416" s="413"/>
      <c r="B416" s="413"/>
      <c r="C416" s="414"/>
      <c r="D416" s="413"/>
      <c r="E416" s="413"/>
      <c r="F416" s="413"/>
      <c r="G416" s="413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  <c r="T416" s="413"/>
      <c r="U416" s="413"/>
      <c r="V416" s="413"/>
      <c r="W416" s="413"/>
      <c r="X416" s="413"/>
      <c r="Y416" s="413"/>
      <c r="Z416" s="413"/>
    </row>
    <row r="417" ht="12.0" customHeight="1">
      <c r="A417" s="413"/>
      <c r="B417" s="413"/>
      <c r="C417" s="414"/>
      <c r="D417" s="413"/>
      <c r="E417" s="413"/>
      <c r="F417" s="413"/>
      <c r="G417" s="413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  <c r="T417" s="413"/>
      <c r="U417" s="413"/>
      <c r="V417" s="413"/>
      <c r="W417" s="413"/>
      <c r="X417" s="413"/>
      <c r="Y417" s="413"/>
      <c r="Z417" s="413"/>
    </row>
    <row r="418" ht="12.0" customHeight="1">
      <c r="A418" s="413"/>
      <c r="B418" s="413"/>
      <c r="C418" s="414"/>
      <c r="D418" s="413"/>
      <c r="E418" s="413"/>
      <c r="F418" s="413"/>
      <c r="G418" s="413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  <c r="T418" s="413"/>
      <c r="U418" s="413"/>
      <c r="V418" s="413"/>
      <c r="W418" s="413"/>
      <c r="X418" s="413"/>
      <c r="Y418" s="413"/>
      <c r="Z418" s="413"/>
    </row>
    <row r="419" ht="12.0" customHeight="1">
      <c r="A419" s="413"/>
      <c r="B419" s="413"/>
      <c r="C419" s="414"/>
      <c r="D419" s="413"/>
      <c r="E419" s="413"/>
      <c r="F419" s="413"/>
      <c r="G419" s="413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  <c r="T419" s="413"/>
      <c r="U419" s="413"/>
      <c r="V419" s="413"/>
      <c r="W419" s="413"/>
      <c r="X419" s="413"/>
      <c r="Y419" s="413"/>
      <c r="Z419" s="413"/>
    </row>
    <row r="420" ht="12.0" customHeight="1">
      <c r="A420" s="413"/>
      <c r="B420" s="413"/>
      <c r="C420" s="414"/>
      <c r="D420" s="413"/>
      <c r="E420" s="413"/>
      <c r="F420" s="413"/>
      <c r="G420" s="413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  <c r="T420" s="413"/>
      <c r="U420" s="413"/>
      <c r="V420" s="413"/>
      <c r="W420" s="413"/>
      <c r="X420" s="413"/>
      <c r="Y420" s="413"/>
      <c r="Z420" s="413"/>
    </row>
    <row r="421" ht="12.0" customHeight="1">
      <c r="A421" s="413"/>
      <c r="B421" s="413"/>
      <c r="C421" s="414"/>
      <c r="D421" s="413"/>
      <c r="E421" s="413"/>
      <c r="F421" s="413"/>
      <c r="G421" s="413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  <c r="T421" s="413"/>
      <c r="U421" s="413"/>
      <c r="V421" s="413"/>
      <c r="W421" s="413"/>
      <c r="X421" s="413"/>
      <c r="Y421" s="413"/>
      <c r="Z421" s="413"/>
    </row>
    <row r="422" ht="12.0" customHeight="1">
      <c r="A422" s="413"/>
      <c r="B422" s="413"/>
      <c r="C422" s="414"/>
      <c r="D422" s="413"/>
      <c r="E422" s="413"/>
      <c r="F422" s="413"/>
      <c r="G422" s="413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  <c r="T422" s="413"/>
      <c r="U422" s="413"/>
      <c r="V422" s="413"/>
      <c r="W422" s="413"/>
      <c r="X422" s="413"/>
      <c r="Y422" s="413"/>
      <c r="Z422" s="413"/>
    </row>
    <row r="423" ht="12.0" customHeight="1">
      <c r="A423" s="413"/>
      <c r="B423" s="413"/>
      <c r="C423" s="414"/>
      <c r="D423" s="413"/>
      <c r="E423" s="413"/>
      <c r="F423" s="413"/>
      <c r="G423" s="413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  <c r="T423" s="413"/>
      <c r="U423" s="413"/>
      <c r="V423" s="413"/>
      <c r="W423" s="413"/>
      <c r="X423" s="413"/>
      <c r="Y423" s="413"/>
      <c r="Z423" s="413"/>
    </row>
    <row r="424" ht="12.0" customHeight="1">
      <c r="A424" s="413"/>
      <c r="B424" s="413"/>
      <c r="C424" s="414"/>
      <c r="D424" s="413"/>
      <c r="E424" s="413"/>
      <c r="F424" s="413"/>
      <c r="G424" s="413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  <c r="T424" s="413"/>
      <c r="U424" s="413"/>
      <c r="V424" s="413"/>
      <c r="W424" s="413"/>
      <c r="X424" s="413"/>
      <c r="Y424" s="413"/>
      <c r="Z424" s="413"/>
    </row>
    <row r="425" ht="12.0" customHeight="1">
      <c r="A425" s="413"/>
      <c r="B425" s="413"/>
      <c r="C425" s="414"/>
      <c r="D425" s="413"/>
      <c r="E425" s="413"/>
      <c r="F425" s="413"/>
      <c r="G425" s="413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  <c r="T425" s="413"/>
      <c r="U425" s="413"/>
      <c r="V425" s="413"/>
      <c r="W425" s="413"/>
      <c r="X425" s="413"/>
      <c r="Y425" s="413"/>
      <c r="Z425" s="413"/>
    </row>
    <row r="426" ht="12.0" customHeight="1">
      <c r="A426" s="413"/>
      <c r="B426" s="413"/>
      <c r="C426" s="414"/>
      <c r="D426" s="413"/>
      <c r="E426" s="413"/>
      <c r="F426" s="413"/>
      <c r="G426" s="413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  <c r="T426" s="413"/>
      <c r="U426" s="413"/>
      <c r="V426" s="413"/>
      <c r="W426" s="413"/>
      <c r="X426" s="413"/>
      <c r="Y426" s="413"/>
      <c r="Z426" s="413"/>
    </row>
    <row r="427" ht="12.0" customHeight="1">
      <c r="A427" s="413"/>
      <c r="B427" s="413"/>
      <c r="C427" s="414"/>
      <c r="D427" s="413"/>
      <c r="E427" s="413"/>
      <c r="F427" s="413"/>
      <c r="G427" s="413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  <c r="T427" s="413"/>
      <c r="U427" s="413"/>
      <c r="V427" s="413"/>
      <c r="W427" s="413"/>
      <c r="X427" s="413"/>
      <c r="Y427" s="413"/>
      <c r="Z427" s="413"/>
    </row>
    <row r="428" ht="12.0" customHeight="1">
      <c r="A428" s="413"/>
      <c r="B428" s="413"/>
      <c r="C428" s="414"/>
      <c r="D428" s="413"/>
      <c r="E428" s="413"/>
      <c r="F428" s="413"/>
      <c r="G428" s="413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  <c r="T428" s="413"/>
      <c r="U428" s="413"/>
      <c r="V428" s="413"/>
      <c r="W428" s="413"/>
      <c r="X428" s="413"/>
      <c r="Y428" s="413"/>
      <c r="Z428" s="413"/>
    </row>
    <row r="429" ht="12.0" customHeight="1">
      <c r="A429" s="413"/>
      <c r="B429" s="413"/>
      <c r="C429" s="414"/>
      <c r="D429" s="413"/>
      <c r="E429" s="413"/>
      <c r="F429" s="413"/>
      <c r="G429" s="413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  <c r="T429" s="413"/>
      <c r="U429" s="413"/>
      <c r="V429" s="413"/>
      <c r="W429" s="413"/>
      <c r="X429" s="413"/>
      <c r="Y429" s="413"/>
      <c r="Z429" s="413"/>
    </row>
    <row r="430" ht="12.0" customHeight="1">
      <c r="A430" s="413"/>
      <c r="B430" s="413"/>
      <c r="C430" s="414"/>
      <c r="D430" s="413"/>
      <c r="E430" s="413"/>
      <c r="F430" s="413"/>
      <c r="G430" s="413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  <c r="T430" s="413"/>
      <c r="U430" s="413"/>
      <c r="V430" s="413"/>
      <c r="W430" s="413"/>
      <c r="X430" s="413"/>
      <c r="Y430" s="413"/>
      <c r="Z430" s="413"/>
    </row>
    <row r="431" ht="12.0" customHeight="1">
      <c r="A431" s="413"/>
      <c r="B431" s="413"/>
      <c r="C431" s="414"/>
      <c r="D431" s="413"/>
      <c r="E431" s="413"/>
      <c r="F431" s="413"/>
      <c r="G431" s="413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  <c r="T431" s="413"/>
      <c r="U431" s="413"/>
      <c r="V431" s="413"/>
      <c r="W431" s="413"/>
      <c r="X431" s="413"/>
      <c r="Y431" s="413"/>
      <c r="Z431" s="413"/>
    </row>
    <row r="432" ht="12.0" customHeight="1">
      <c r="A432" s="413"/>
      <c r="B432" s="413"/>
      <c r="C432" s="414"/>
      <c r="D432" s="413"/>
      <c r="E432" s="413"/>
      <c r="F432" s="413"/>
      <c r="G432" s="413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  <c r="T432" s="413"/>
      <c r="U432" s="413"/>
      <c r="V432" s="413"/>
      <c r="W432" s="413"/>
      <c r="X432" s="413"/>
      <c r="Y432" s="413"/>
      <c r="Z432" s="413"/>
    </row>
    <row r="433" ht="12.0" customHeight="1">
      <c r="A433" s="413"/>
      <c r="B433" s="413"/>
      <c r="C433" s="414"/>
      <c r="D433" s="413"/>
      <c r="E433" s="413"/>
      <c r="F433" s="413"/>
      <c r="G433" s="413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  <c r="T433" s="413"/>
      <c r="U433" s="413"/>
      <c r="V433" s="413"/>
      <c r="W433" s="413"/>
      <c r="X433" s="413"/>
      <c r="Y433" s="413"/>
      <c r="Z433" s="413"/>
    </row>
    <row r="434" ht="12.0" customHeight="1">
      <c r="A434" s="413"/>
      <c r="B434" s="413"/>
      <c r="C434" s="414"/>
      <c r="D434" s="413"/>
      <c r="E434" s="413"/>
      <c r="F434" s="413"/>
      <c r="G434" s="413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  <c r="T434" s="413"/>
      <c r="U434" s="413"/>
      <c r="V434" s="413"/>
      <c r="W434" s="413"/>
      <c r="X434" s="413"/>
      <c r="Y434" s="413"/>
      <c r="Z434" s="413"/>
    </row>
    <row r="435" ht="12.0" customHeight="1">
      <c r="A435" s="413"/>
      <c r="B435" s="413"/>
      <c r="C435" s="414"/>
      <c r="D435" s="413"/>
      <c r="E435" s="413"/>
      <c r="F435" s="413"/>
      <c r="G435" s="413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  <c r="T435" s="413"/>
      <c r="U435" s="413"/>
      <c r="V435" s="413"/>
      <c r="W435" s="413"/>
      <c r="X435" s="413"/>
      <c r="Y435" s="413"/>
      <c r="Z435" s="413"/>
    </row>
    <row r="436" ht="12.0" customHeight="1">
      <c r="A436" s="413"/>
      <c r="B436" s="413"/>
      <c r="C436" s="414"/>
      <c r="D436" s="413"/>
      <c r="E436" s="413"/>
      <c r="F436" s="413"/>
      <c r="G436" s="413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  <c r="T436" s="413"/>
      <c r="U436" s="413"/>
      <c r="V436" s="413"/>
      <c r="W436" s="413"/>
      <c r="X436" s="413"/>
      <c r="Y436" s="413"/>
      <c r="Z436" s="413"/>
    </row>
    <row r="437" ht="12.0" customHeight="1">
      <c r="A437" s="413"/>
      <c r="B437" s="413"/>
      <c r="C437" s="414"/>
      <c r="D437" s="413"/>
      <c r="E437" s="413"/>
      <c r="F437" s="413"/>
      <c r="G437" s="413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  <c r="T437" s="413"/>
      <c r="U437" s="413"/>
      <c r="V437" s="413"/>
      <c r="W437" s="413"/>
      <c r="X437" s="413"/>
      <c r="Y437" s="413"/>
      <c r="Z437" s="413"/>
    </row>
    <row r="438" ht="12.0" customHeight="1">
      <c r="A438" s="413"/>
      <c r="B438" s="413"/>
      <c r="C438" s="414"/>
      <c r="D438" s="413"/>
      <c r="E438" s="413"/>
      <c r="F438" s="413"/>
      <c r="G438" s="413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  <c r="T438" s="413"/>
      <c r="U438" s="413"/>
      <c r="V438" s="413"/>
      <c r="W438" s="413"/>
      <c r="X438" s="413"/>
      <c r="Y438" s="413"/>
      <c r="Z438" s="413"/>
    </row>
    <row r="439" ht="12.0" customHeight="1">
      <c r="A439" s="413"/>
      <c r="B439" s="413"/>
      <c r="C439" s="414"/>
      <c r="D439" s="413"/>
      <c r="E439" s="413"/>
      <c r="F439" s="413"/>
      <c r="G439" s="413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  <c r="T439" s="413"/>
      <c r="U439" s="413"/>
      <c r="V439" s="413"/>
      <c r="W439" s="413"/>
      <c r="X439" s="413"/>
      <c r="Y439" s="413"/>
      <c r="Z439" s="413"/>
    </row>
    <row r="440" ht="12.0" customHeight="1">
      <c r="A440" s="413"/>
      <c r="B440" s="413"/>
      <c r="C440" s="414"/>
      <c r="D440" s="413"/>
      <c r="E440" s="413"/>
      <c r="F440" s="413"/>
      <c r="G440" s="413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  <c r="T440" s="413"/>
      <c r="U440" s="413"/>
      <c r="V440" s="413"/>
      <c r="W440" s="413"/>
      <c r="X440" s="413"/>
      <c r="Y440" s="413"/>
      <c r="Z440" s="413"/>
    </row>
    <row r="441" ht="12.0" customHeight="1">
      <c r="A441" s="413"/>
      <c r="B441" s="413"/>
      <c r="C441" s="414"/>
      <c r="D441" s="413"/>
      <c r="E441" s="413"/>
      <c r="F441" s="413"/>
      <c r="G441" s="413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  <c r="T441" s="413"/>
      <c r="U441" s="413"/>
      <c r="V441" s="413"/>
      <c r="W441" s="413"/>
      <c r="X441" s="413"/>
      <c r="Y441" s="413"/>
      <c r="Z441" s="413"/>
    </row>
    <row r="442" ht="12.0" customHeight="1">
      <c r="A442" s="413"/>
      <c r="B442" s="413"/>
      <c r="C442" s="414"/>
      <c r="D442" s="413"/>
      <c r="E442" s="413"/>
      <c r="F442" s="413"/>
      <c r="G442" s="413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  <c r="T442" s="413"/>
      <c r="U442" s="413"/>
      <c r="V442" s="413"/>
      <c r="W442" s="413"/>
      <c r="X442" s="413"/>
      <c r="Y442" s="413"/>
      <c r="Z442" s="413"/>
    </row>
    <row r="443" ht="12.0" customHeight="1">
      <c r="A443" s="413"/>
      <c r="B443" s="413"/>
      <c r="C443" s="414"/>
      <c r="D443" s="413"/>
      <c r="E443" s="413"/>
      <c r="F443" s="413"/>
      <c r="G443" s="413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  <c r="T443" s="413"/>
      <c r="U443" s="413"/>
      <c r="V443" s="413"/>
      <c r="W443" s="413"/>
      <c r="X443" s="413"/>
      <c r="Y443" s="413"/>
      <c r="Z443" s="413"/>
    </row>
    <row r="444" ht="12.0" customHeight="1">
      <c r="A444" s="413"/>
      <c r="B444" s="413"/>
      <c r="C444" s="414"/>
      <c r="D444" s="413"/>
      <c r="E444" s="413"/>
      <c r="F444" s="413"/>
      <c r="G444" s="413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  <c r="T444" s="413"/>
      <c r="U444" s="413"/>
      <c r="V444" s="413"/>
      <c r="W444" s="413"/>
      <c r="X444" s="413"/>
      <c r="Y444" s="413"/>
      <c r="Z444" s="413"/>
    </row>
    <row r="445" ht="12.0" customHeight="1">
      <c r="A445" s="413"/>
      <c r="B445" s="413"/>
      <c r="C445" s="414"/>
      <c r="D445" s="413"/>
      <c r="E445" s="413"/>
      <c r="F445" s="413"/>
      <c r="G445" s="413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  <c r="T445" s="413"/>
      <c r="U445" s="413"/>
      <c r="V445" s="413"/>
      <c r="W445" s="413"/>
      <c r="X445" s="413"/>
      <c r="Y445" s="413"/>
      <c r="Z445" s="413"/>
    </row>
    <row r="446" ht="12.0" customHeight="1">
      <c r="A446" s="413"/>
      <c r="B446" s="413"/>
      <c r="C446" s="414"/>
      <c r="D446" s="413"/>
      <c r="E446" s="413"/>
      <c r="F446" s="413"/>
      <c r="G446" s="413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  <c r="T446" s="413"/>
      <c r="U446" s="413"/>
      <c r="V446" s="413"/>
      <c r="W446" s="413"/>
      <c r="X446" s="413"/>
      <c r="Y446" s="413"/>
      <c r="Z446" s="413"/>
    </row>
    <row r="447" ht="12.0" customHeight="1">
      <c r="A447" s="413"/>
      <c r="B447" s="413"/>
      <c r="C447" s="414"/>
      <c r="D447" s="413"/>
      <c r="E447" s="413"/>
      <c r="F447" s="413"/>
      <c r="G447" s="413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  <c r="T447" s="413"/>
      <c r="U447" s="413"/>
      <c r="V447" s="413"/>
      <c r="W447" s="413"/>
      <c r="X447" s="413"/>
      <c r="Y447" s="413"/>
      <c r="Z447" s="413"/>
    </row>
    <row r="448" ht="12.0" customHeight="1">
      <c r="A448" s="413"/>
      <c r="B448" s="413"/>
      <c r="C448" s="414"/>
      <c r="D448" s="413"/>
      <c r="E448" s="413"/>
      <c r="F448" s="413"/>
      <c r="G448" s="413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  <c r="T448" s="413"/>
      <c r="U448" s="413"/>
      <c r="V448" s="413"/>
      <c r="W448" s="413"/>
      <c r="X448" s="413"/>
      <c r="Y448" s="413"/>
      <c r="Z448" s="413"/>
    </row>
    <row r="449" ht="12.0" customHeight="1">
      <c r="A449" s="413"/>
      <c r="B449" s="413"/>
      <c r="C449" s="414"/>
      <c r="D449" s="413"/>
      <c r="E449" s="413"/>
      <c r="F449" s="413"/>
      <c r="G449" s="413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  <c r="T449" s="413"/>
      <c r="U449" s="413"/>
      <c r="V449" s="413"/>
      <c r="W449" s="413"/>
      <c r="X449" s="413"/>
      <c r="Y449" s="413"/>
      <c r="Z449" s="413"/>
    </row>
    <row r="450" ht="12.0" customHeight="1">
      <c r="A450" s="413"/>
      <c r="B450" s="413"/>
      <c r="C450" s="414"/>
      <c r="D450" s="413"/>
      <c r="E450" s="413"/>
      <c r="F450" s="413"/>
      <c r="G450" s="413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  <c r="T450" s="413"/>
      <c r="U450" s="413"/>
      <c r="V450" s="413"/>
      <c r="W450" s="413"/>
      <c r="X450" s="413"/>
      <c r="Y450" s="413"/>
      <c r="Z450" s="413"/>
    </row>
    <row r="451" ht="12.0" customHeight="1">
      <c r="A451" s="413"/>
      <c r="B451" s="413"/>
      <c r="C451" s="414"/>
      <c r="D451" s="413"/>
      <c r="E451" s="413"/>
      <c r="F451" s="413"/>
      <c r="G451" s="413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  <c r="T451" s="413"/>
      <c r="U451" s="413"/>
      <c r="V451" s="413"/>
      <c r="W451" s="413"/>
      <c r="X451" s="413"/>
      <c r="Y451" s="413"/>
      <c r="Z451" s="413"/>
    </row>
    <row r="452" ht="12.0" customHeight="1">
      <c r="A452" s="413"/>
      <c r="B452" s="413"/>
      <c r="C452" s="414"/>
      <c r="D452" s="413"/>
      <c r="E452" s="413"/>
      <c r="F452" s="413"/>
      <c r="G452" s="413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  <c r="T452" s="413"/>
      <c r="U452" s="413"/>
      <c r="V452" s="413"/>
      <c r="W452" s="413"/>
      <c r="X452" s="413"/>
      <c r="Y452" s="413"/>
      <c r="Z452" s="413"/>
    </row>
    <row r="453" ht="12.0" customHeight="1">
      <c r="A453" s="413"/>
      <c r="B453" s="413"/>
      <c r="C453" s="414"/>
      <c r="D453" s="413"/>
      <c r="E453" s="413"/>
      <c r="F453" s="413"/>
      <c r="G453" s="413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  <c r="T453" s="413"/>
      <c r="U453" s="413"/>
      <c r="V453" s="413"/>
      <c r="W453" s="413"/>
      <c r="X453" s="413"/>
      <c r="Y453" s="413"/>
      <c r="Z453" s="413"/>
    </row>
    <row r="454" ht="12.0" customHeight="1">
      <c r="A454" s="413"/>
      <c r="B454" s="413"/>
      <c r="C454" s="414"/>
      <c r="D454" s="413"/>
      <c r="E454" s="413"/>
      <c r="F454" s="413"/>
      <c r="G454" s="413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  <c r="T454" s="413"/>
      <c r="U454" s="413"/>
      <c r="V454" s="413"/>
      <c r="W454" s="413"/>
      <c r="X454" s="413"/>
      <c r="Y454" s="413"/>
      <c r="Z454" s="413"/>
    </row>
    <row r="455" ht="12.0" customHeight="1">
      <c r="A455" s="413"/>
      <c r="B455" s="413"/>
      <c r="C455" s="414"/>
      <c r="D455" s="413"/>
      <c r="E455" s="413"/>
      <c r="F455" s="413"/>
      <c r="G455" s="413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  <c r="T455" s="413"/>
      <c r="U455" s="413"/>
      <c r="V455" s="413"/>
      <c r="W455" s="413"/>
      <c r="X455" s="413"/>
      <c r="Y455" s="413"/>
      <c r="Z455" s="413"/>
    </row>
    <row r="456" ht="12.0" customHeight="1">
      <c r="A456" s="413"/>
      <c r="B456" s="413"/>
      <c r="C456" s="414"/>
      <c r="D456" s="413"/>
      <c r="E456" s="413"/>
      <c r="F456" s="413"/>
      <c r="G456" s="413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  <c r="T456" s="413"/>
      <c r="U456" s="413"/>
      <c r="V456" s="413"/>
      <c r="W456" s="413"/>
      <c r="X456" s="413"/>
      <c r="Y456" s="413"/>
      <c r="Z456" s="413"/>
    </row>
    <row r="457" ht="12.0" customHeight="1">
      <c r="A457" s="413"/>
      <c r="B457" s="413"/>
      <c r="C457" s="414"/>
      <c r="D457" s="413"/>
      <c r="E457" s="413"/>
      <c r="F457" s="413"/>
      <c r="G457" s="413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  <c r="T457" s="413"/>
      <c r="U457" s="413"/>
      <c r="V457" s="413"/>
      <c r="W457" s="413"/>
      <c r="X457" s="413"/>
      <c r="Y457" s="413"/>
      <c r="Z457" s="413"/>
    </row>
    <row r="458" ht="12.0" customHeight="1">
      <c r="A458" s="413"/>
      <c r="B458" s="413"/>
      <c r="C458" s="414"/>
      <c r="D458" s="413"/>
      <c r="E458" s="413"/>
      <c r="F458" s="413"/>
      <c r="G458" s="413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  <c r="T458" s="413"/>
      <c r="U458" s="413"/>
      <c r="V458" s="413"/>
      <c r="W458" s="413"/>
      <c r="X458" s="413"/>
      <c r="Y458" s="413"/>
      <c r="Z458" s="413"/>
    </row>
    <row r="459" ht="12.0" customHeight="1">
      <c r="A459" s="413"/>
      <c r="B459" s="413"/>
      <c r="C459" s="414"/>
      <c r="D459" s="413"/>
      <c r="E459" s="413"/>
      <c r="F459" s="413"/>
      <c r="G459" s="413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  <c r="T459" s="413"/>
      <c r="U459" s="413"/>
      <c r="V459" s="413"/>
      <c r="W459" s="413"/>
      <c r="X459" s="413"/>
      <c r="Y459" s="413"/>
      <c r="Z459" s="413"/>
    </row>
    <row r="460" ht="12.0" customHeight="1">
      <c r="A460" s="413"/>
      <c r="B460" s="413"/>
      <c r="C460" s="414"/>
      <c r="D460" s="413"/>
      <c r="E460" s="413"/>
      <c r="F460" s="413"/>
      <c r="G460" s="413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  <c r="T460" s="413"/>
      <c r="U460" s="413"/>
      <c r="V460" s="413"/>
      <c r="W460" s="413"/>
      <c r="X460" s="413"/>
      <c r="Y460" s="413"/>
      <c r="Z460" s="413"/>
    </row>
    <row r="461" ht="12.0" customHeight="1">
      <c r="A461" s="413"/>
      <c r="B461" s="413"/>
      <c r="C461" s="414"/>
      <c r="D461" s="413"/>
      <c r="E461" s="413"/>
      <c r="F461" s="413"/>
      <c r="G461" s="413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  <c r="T461" s="413"/>
      <c r="U461" s="413"/>
      <c r="V461" s="413"/>
      <c r="W461" s="413"/>
      <c r="X461" s="413"/>
      <c r="Y461" s="413"/>
      <c r="Z461" s="413"/>
    </row>
    <row r="462" ht="12.0" customHeight="1">
      <c r="A462" s="413"/>
      <c r="B462" s="413"/>
      <c r="C462" s="414"/>
      <c r="D462" s="413"/>
      <c r="E462" s="413"/>
      <c r="F462" s="413"/>
      <c r="G462" s="413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  <c r="T462" s="413"/>
      <c r="U462" s="413"/>
      <c r="V462" s="413"/>
      <c r="W462" s="413"/>
      <c r="X462" s="413"/>
      <c r="Y462" s="413"/>
      <c r="Z462" s="413"/>
    </row>
    <row r="463" ht="12.0" customHeight="1">
      <c r="A463" s="413"/>
      <c r="B463" s="413"/>
      <c r="C463" s="414"/>
      <c r="D463" s="413"/>
      <c r="E463" s="413"/>
      <c r="F463" s="413"/>
      <c r="G463" s="413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  <c r="T463" s="413"/>
      <c r="U463" s="413"/>
      <c r="V463" s="413"/>
      <c r="W463" s="413"/>
      <c r="X463" s="413"/>
      <c r="Y463" s="413"/>
      <c r="Z463" s="413"/>
    </row>
    <row r="464" ht="12.0" customHeight="1">
      <c r="A464" s="413"/>
      <c r="B464" s="413"/>
      <c r="C464" s="414"/>
      <c r="D464" s="413"/>
      <c r="E464" s="413"/>
      <c r="F464" s="413"/>
      <c r="G464" s="413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  <c r="T464" s="413"/>
      <c r="U464" s="413"/>
      <c r="V464" s="413"/>
      <c r="W464" s="413"/>
      <c r="X464" s="413"/>
      <c r="Y464" s="413"/>
      <c r="Z464" s="413"/>
    </row>
    <row r="465" ht="12.0" customHeight="1">
      <c r="A465" s="413"/>
      <c r="B465" s="413"/>
      <c r="C465" s="414"/>
      <c r="D465" s="413"/>
      <c r="E465" s="413"/>
      <c r="F465" s="413"/>
      <c r="G465" s="413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  <c r="T465" s="413"/>
      <c r="U465" s="413"/>
      <c r="V465" s="413"/>
      <c r="W465" s="413"/>
      <c r="X465" s="413"/>
      <c r="Y465" s="413"/>
      <c r="Z465" s="413"/>
    </row>
    <row r="466" ht="12.0" customHeight="1">
      <c r="A466" s="413"/>
      <c r="B466" s="413"/>
      <c r="C466" s="414"/>
      <c r="D466" s="413"/>
      <c r="E466" s="413"/>
      <c r="F466" s="413"/>
      <c r="G466" s="413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  <c r="T466" s="413"/>
      <c r="U466" s="413"/>
      <c r="V466" s="413"/>
      <c r="W466" s="413"/>
      <c r="X466" s="413"/>
      <c r="Y466" s="413"/>
      <c r="Z466" s="413"/>
    </row>
    <row r="467" ht="12.0" customHeight="1">
      <c r="A467" s="413"/>
      <c r="B467" s="413"/>
      <c r="C467" s="414"/>
      <c r="D467" s="413"/>
      <c r="E467" s="413"/>
      <c r="F467" s="413"/>
      <c r="G467" s="413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  <c r="T467" s="413"/>
      <c r="U467" s="413"/>
      <c r="V467" s="413"/>
      <c r="W467" s="413"/>
      <c r="X467" s="413"/>
      <c r="Y467" s="413"/>
      <c r="Z467" s="413"/>
    </row>
    <row r="468" ht="12.0" customHeight="1">
      <c r="A468" s="413"/>
      <c r="B468" s="413"/>
      <c r="C468" s="414"/>
      <c r="D468" s="413"/>
      <c r="E468" s="413"/>
      <c r="F468" s="413"/>
      <c r="G468" s="413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  <c r="T468" s="413"/>
      <c r="U468" s="413"/>
      <c r="V468" s="413"/>
      <c r="W468" s="413"/>
      <c r="X468" s="413"/>
      <c r="Y468" s="413"/>
      <c r="Z468" s="413"/>
    </row>
    <row r="469" ht="12.0" customHeight="1">
      <c r="A469" s="413"/>
      <c r="B469" s="413"/>
      <c r="C469" s="414"/>
      <c r="D469" s="413"/>
      <c r="E469" s="413"/>
      <c r="F469" s="413"/>
      <c r="G469" s="413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  <c r="T469" s="413"/>
      <c r="U469" s="413"/>
      <c r="V469" s="413"/>
      <c r="W469" s="413"/>
      <c r="X469" s="413"/>
      <c r="Y469" s="413"/>
      <c r="Z469" s="413"/>
    </row>
    <row r="470" ht="12.0" customHeight="1">
      <c r="A470" s="413"/>
      <c r="B470" s="413"/>
      <c r="C470" s="414"/>
      <c r="D470" s="413"/>
      <c r="E470" s="413"/>
      <c r="F470" s="413"/>
      <c r="G470" s="413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  <c r="T470" s="413"/>
      <c r="U470" s="413"/>
      <c r="V470" s="413"/>
      <c r="W470" s="413"/>
      <c r="X470" s="413"/>
      <c r="Y470" s="413"/>
      <c r="Z470" s="413"/>
    </row>
    <row r="471" ht="12.0" customHeight="1">
      <c r="A471" s="413"/>
      <c r="B471" s="413"/>
      <c r="C471" s="414"/>
      <c r="D471" s="413"/>
      <c r="E471" s="413"/>
      <c r="F471" s="413"/>
      <c r="G471" s="413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  <c r="T471" s="413"/>
      <c r="U471" s="413"/>
      <c r="V471" s="413"/>
      <c r="W471" s="413"/>
      <c r="X471" s="413"/>
      <c r="Y471" s="413"/>
      <c r="Z471" s="413"/>
    </row>
    <row r="472" ht="12.0" customHeight="1">
      <c r="A472" s="413"/>
      <c r="B472" s="413"/>
      <c r="C472" s="414"/>
      <c r="D472" s="413"/>
      <c r="E472" s="413"/>
      <c r="F472" s="413"/>
      <c r="G472" s="413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  <c r="T472" s="413"/>
      <c r="U472" s="413"/>
      <c r="V472" s="413"/>
      <c r="W472" s="413"/>
      <c r="X472" s="413"/>
      <c r="Y472" s="413"/>
      <c r="Z472" s="413"/>
    </row>
    <row r="473" ht="12.0" customHeight="1">
      <c r="A473" s="413"/>
      <c r="B473" s="413"/>
      <c r="C473" s="414"/>
      <c r="D473" s="413"/>
      <c r="E473" s="413"/>
      <c r="F473" s="413"/>
      <c r="G473" s="413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  <c r="T473" s="413"/>
      <c r="U473" s="413"/>
      <c r="V473" s="413"/>
      <c r="W473" s="413"/>
      <c r="X473" s="413"/>
      <c r="Y473" s="413"/>
      <c r="Z473" s="413"/>
    </row>
    <row r="474" ht="12.0" customHeight="1">
      <c r="A474" s="413"/>
      <c r="B474" s="413"/>
      <c r="C474" s="414"/>
      <c r="D474" s="413"/>
      <c r="E474" s="413"/>
      <c r="F474" s="413"/>
      <c r="G474" s="413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  <c r="T474" s="413"/>
      <c r="U474" s="413"/>
      <c r="V474" s="413"/>
      <c r="W474" s="413"/>
      <c r="X474" s="413"/>
      <c r="Y474" s="413"/>
      <c r="Z474" s="413"/>
    </row>
    <row r="475" ht="12.0" customHeight="1">
      <c r="A475" s="413"/>
      <c r="B475" s="413"/>
      <c r="C475" s="414"/>
      <c r="D475" s="413"/>
      <c r="E475" s="413"/>
      <c r="F475" s="413"/>
      <c r="G475" s="413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  <c r="T475" s="413"/>
      <c r="U475" s="413"/>
      <c r="V475" s="413"/>
      <c r="W475" s="413"/>
      <c r="X475" s="413"/>
      <c r="Y475" s="413"/>
      <c r="Z475" s="413"/>
    </row>
    <row r="476" ht="12.0" customHeight="1">
      <c r="A476" s="413"/>
      <c r="B476" s="413"/>
      <c r="C476" s="414"/>
      <c r="D476" s="413"/>
      <c r="E476" s="413"/>
      <c r="F476" s="413"/>
      <c r="G476" s="413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  <c r="T476" s="413"/>
      <c r="U476" s="413"/>
      <c r="V476" s="413"/>
      <c r="W476" s="413"/>
      <c r="X476" s="413"/>
      <c r="Y476" s="413"/>
      <c r="Z476" s="413"/>
    </row>
    <row r="477" ht="12.0" customHeight="1">
      <c r="A477" s="413"/>
      <c r="B477" s="413"/>
      <c r="C477" s="414"/>
      <c r="D477" s="413"/>
      <c r="E477" s="413"/>
      <c r="F477" s="413"/>
      <c r="G477" s="413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  <c r="T477" s="413"/>
      <c r="U477" s="413"/>
      <c r="V477" s="413"/>
      <c r="W477" s="413"/>
      <c r="X477" s="413"/>
      <c r="Y477" s="413"/>
      <c r="Z477" s="413"/>
    </row>
    <row r="478" ht="12.0" customHeight="1">
      <c r="A478" s="413"/>
      <c r="B478" s="413"/>
      <c r="C478" s="414"/>
      <c r="D478" s="413"/>
      <c r="E478" s="413"/>
      <c r="F478" s="413"/>
      <c r="G478" s="413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  <c r="T478" s="413"/>
      <c r="U478" s="413"/>
      <c r="V478" s="413"/>
      <c r="W478" s="413"/>
      <c r="X478" s="413"/>
      <c r="Y478" s="413"/>
      <c r="Z478" s="413"/>
    </row>
    <row r="479" ht="12.0" customHeight="1">
      <c r="A479" s="413"/>
      <c r="B479" s="413"/>
      <c r="C479" s="414"/>
      <c r="D479" s="413"/>
      <c r="E479" s="413"/>
      <c r="F479" s="413"/>
      <c r="G479" s="413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  <c r="T479" s="413"/>
      <c r="U479" s="413"/>
      <c r="V479" s="413"/>
      <c r="W479" s="413"/>
      <c r="X479" s="413"/>
      <c r="Y479" s="413"/>
      <c r="Z479" s="413"/>
    </row>
    <row r="480" ht="12.0" customHeight="1">
      <c r="A480" s="413"/>
      <c r="B480" s="413"/>
      <c r="C480" s="414"/>
      <c r="D480" s="413"/>
      <c r="E480" s="413"/>
      <c r="F480" s="413"/>
      <c r="G480" s="413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</row>
    <row r="481" ht="12.0" customHeight="1">
      <c r="A481" s="413"/>
      <c r="B481" s="413"/>
      <c r="C481" s="414"/>
      <c r="D481" s="413"/>
      <c r="E481" s="413"/>
      <c r="F481" s="413"/>
      <c r="G481" s="413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  <c r="T481" s="413"/>
      <c r="U481" s="413"/>
      <c r="V481" s="413"/>
      <c r="W481" s="413"/>
      <c r="X481" s="413"/>
      <c r="Y481" s="413"/>
      <c r="Z481" s="413"/>
    </row>
    <row r="482" ht="12.0" customHeight="1">
      <c r="A482" s="413"/>
      <c r="B482" s="413"/>
      <c r="C482" s="414"/>
      <c r="D482" s="413"/>
      <c r="E482" s="413"/>
      <c r="F482" s="413"/>
      <c r="G482" s="41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3"/>
      <c r="U482" s="413"/>
      <c r="V482" s="413"/>
      <c r="W482" s="413"/>
      <c r="X482" s="413"/>
      <c r="Y482" s="413"/>
      <c r="Z482" s="413"/>
    </row>
    <row r="483" ht="12.0" customHeight="1">
      <c r="A483" s="413"/>
      <c r="B483" s="413"/>
      <c r="C483" s="414"/>
      <c r="D483" s="413"/>
      <c r="E483" s="413"/>
      <c r="F483" s="413"/>
      <c r="G483" s="413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  <c r="T483" s="413"/>
      <c r="U483" s="413"/>
      <c r="V483" s="413"/>
      <c r="W483" s="413"/>
      <c r="X483" s="413"/>
      <c r="Y483" s="413"/>
      <c r="Z483" s="413"/>
    </row>
    <row r="484" ht="12.0" customHeight="1">
      <c r="A484" s="413"/>
      <c r="B484" s="413"/>
      <c r="C484" s="414"/>
      <c r="D484" s="413"/>
      <c r="E484" s="413"/>
      <c r="F484" s="413"/>
      <c r="G484" s="413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  <c r="T484" s="413"/>
      <c r="U484" s="413"/>
      <c r="V484" s="413"/>
      <c r="W484" s="413"/>
      <c r="X484" s="413"/>
      <c r="Y484" s="413"/>
      <c r="Z484" s="413"/>
    </row>
    <row r="485" ht="12.0" customHeight="1">
      <c r="A485" s="413"/>
      <c r="B485" s="413"/>
      <c r="C485" s="414"/>
      <c r="D485" s="413"/>
      <c r="E485" s="413"/>
      <c r="F485" s="413"/>
      <c r="G485" s="413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  <c r="T485" s="413"/>
      <c r="U485" s="413"/>
      <c r="V485" s="413"/>
      <c r="W485" s="413"/>
      <c r="X485" s="413"/>
      <c r="Y485" s="413"/>
      <c r="Z485" s="413"/>
    </row>
    <row r="486" ht="12.0" customHeight="1">
      <c r="A486" s="413"/>
      <c r="B486" s="413"/>
      <c r="C486" s="414"/>
      <c r="D486" s="413"/>
      <c r="E486" s="413"/>
      <c r="F486" s="413"/>
      <c r="G486" s="413"/>
      <c r="H486" s="413"/>
      <c r="I486" s="413"/>
      <c r="J486" s="413"/>
      <c r="K486" s="413"/>
      <c r="L486" s="413"/>
      <c r="M486" s="413"/>
      <c r="N486" s="413"/>
      <c r="O486" s="413"/>
      <c r="P486" s="413"/>
      <c r="Q486" s="413"/>
      <c r="R486" s="413"/>
      <c r="S486" s="413"/>
      <c r="T486" s="413"/>
      <c r="U486" s="413"/>
      <c r="V486" s="413"/>
      <c r="W486" s="413"/>
      <c r="X486" s="413"/>
      <c r="Y486" s="413"/>
      <c r="Z486" s="413"/>
    </row>
    <row r="487" ht="12.0" customHeight="1">
      <c r="A487" s="413"/>
      <c r="B487" s="413"/>
      <c r="C487" s="414"/>
      <c r="D487" s="413"/>
      <c r="E487" s="413"/>
      <c r="F487" s="413"/>
      <c r="G487" s="413"/>
      <c r="H487" s="413"/>
      <c r="I487" s="413"/>
      <c r="J487" s="413"/>
      <c r="K487" s="413"/>
      <c r="L487" s="413"/>
      <c r="M487" s="413"/>
      <c r="N487" s="413"/>
      <c r="O487" s="413"/>
      <c r="P487" s="413"/>
      <c r="Q487" s="413"/>
      <c r="R487" s="413"/>
      <c r="S487" s="413"/>
      <c r="T487" s="413"/>
      <c r="U487" s="413"/>
      <c r="V487" s="413"/>
      <c r="W487" s="413"/>
      <c r="X487" s="413"/>
      <c r="Y487" s="413"/>
      <c r="Z487" s="413"/>
    </row>
    <row r="488" ht="12.0" customHeight="1">
      <c r="A488" s="413"/>
      <c r="B488" s="413"/>
      <c r="C488" s="414"/>
      <c r="D488" s="413"/>
      <c r="E488" s="413"/>
      <c r="F488" s="413"/>
      <c r="G488" s="413"/>
      <c r="H488" s="413"/>
      <c r="I488" s="413"/>
      <c r="J488" s="413"/>
      <c r="K488" s="413"/>
      <c r="L488" s="413"/>
      <c r="M488" s="413"/>
      <c r="N488" s="413"/>
      <c r="O488" s="413"/>
      <c r="P488" s="413"/>
      <c r="Q488" s="413"/>
      <c r="R488" s="413"/>
      <c r="S488" s="413"/>
      <c r="T488" s="413"/>
      <c r="U488" s="413"/>
      <c r="V488" s="413"/>
      <c r="W488" s="413"/>
      <c r="X488" s="413"/>
      <c r="Y488" s="413"/>
      <c r="Z488" s="413"/>
    </row>
    <row r="489" ht="12.0" customHeight="1">
      <c r="A489" s="413"/>
      <c r="B489" s="413"/>
      <c r="C489" s="414"/>
      <c r="D489" s="413"/>
      <c r="E489" s="413"/>
      <c r="F489" s="413"/>
      <c r="G489" s="413"/>
      <c r="H489" s="413"/>
      <c r="I489" s="413"/>
      <c r="J489" s="413"/>
      <c r="K489" s="413"/>
      <c r="L489" s="413"/>
      <c r="M489" s="413"/>
      <c r="N489" s="413"/>
      <c r="O489" s="413"/>
      <c r="P489" s="413"/>
      <c r="Q489" s="413"/>
      <c r="R489" s="413"/>
      <c r="S489" s="413"/>
      <c r="T489" s="413"/>
      <c r="U489" s="413"/>
      <c r="V489" s="413"/>
      <c r="W489" s="413"/>
      <c r="X489" s="413"/>
      <c r="Y489" s="413"/>
      <c r="Z489" s="413"/>
    </row>
    <row r="490" ht="12.0" customHeight="1">
      <c r="A490" s="413"/>
      <c r="B490" s="413"/>
      <c r="C490" s="414"/>
      <c r="D490" s="413"/>
      <c r="E490" s="413"/>
      <c r="F490" s="413"/>
      <c r="G490" s="413"/>
      <c r="H490" s="413"/>
      <c r="I490" s="413"/>
      <c r="J490" s="413"/>
      <c r="K490" s="413"/>
      <c r="L490" s="413"/>
      <c r="M490" s="413"/>
      <c r="N490" s="413"/>
      <c r="O490" s="413"/>
      <c r="P490" s="413"/>
      <c r="Q490" s="413"/>
      <c r="R490" s="413"/>
      <c r="S490" s="413"/>
      <c r="T490" s="413"/>
      <c r="U490" s="413"/>
      <c r="V490" s="413"/>
      <c r="W490" s="413"/>
      <c r="X490" s="413"/>
      <c r="Y490" s="413"/>
      <c r="Z490" s="413"/>
    </row>
    <row r="491" ht="12.0" customHeight="1">
      <c r="A491" s="413"/>
      <c r="B491" s="413"/>
      <c r="C491" s="414"/>
      <c r="D491" s="413"/>
      <c r="E491" s="413"/>
      <c r="F491" s="413"/>
      <c r="G491" s="413"/>
      <c r="H491" s="413"/>
      <c r="I491" s="413"/>
      <c r="J491" s="413"/>
      <c r="K491" s="413"/>
      <c r="L491" s="413"/>
      <c r="M491" s="413"/>
      <c r="N491" s="413"/>
      <c r="O491" s="413"/>
      <c r="P491" s="413"/>
      <c r="Q491" s="413"/>
      <c r="R491" s="413"/>
      <c r="S491" s="413"/>
      <c r="T491" s="413"/>
      <c r="U491" s="413"/>
      <c r="V491" s="413"/>
      <c r="W491" s="413"/>
      <c r="X491" s="413"/>
      <c r="Y491" s="413"/>
      <c r="Z491" s="413"/>
    </row>
    <row r="492" ht="12.0" customHeight="1">
      <c r="A492" s="413"/>
      <c r="B492" s="413"/>
      <c r="C492" s="414"/>
      <c r="D492" s="413"/>
      <c r="E492" s="413"/>
      <c r="F492" s="413"/>
      <c r="G492" s="413"/>
      <c r="H492" s="413"/>
      <c r="I492" s="413"/>
      <c r="J492" s="413"/>
      <c r="K492" s="413"/>
      <c r="L492" s="413"/>
      <c r="M492" s="413"/>
      <c r="N492" s="413"/>
      <c r="O492" s="413"/>
      <c r="P492" s="413"/>
      <c r="Q492" s="413"/>
      <c r="R492" s="413"/>
      <c r="S492" s="413"/>
      <c r="T492" s="413"/>
      <c r="U492" s="413"/>
      <c r="V492" s="413"/>
      <c r="W492" s="413"/>
      <c r="X492" s="413"/>
      <c r="Y492" s="413"/>
      <c r="Z492" s="413"/>
    </row>
    <row r="493" ht="12.0" customHeight="1">
      <c r="A493" s="413"/>
      <c r="B493" s="413"/>
      <c r="C493" s="414"/>
      <c r="D493" s="413"/>
      <c r="E493" s="413"/>
      <c r="F493" s="413"/>
      <c r="G493" s="413"/>
      <c r="H493" s="413"/>
      <c r="I493" s="413"/>
      <c r="J493" s="413"/>
      <c r="K493" s="413"/>
      <c r="L493" s="413"/>
      <c r="M493" s="413"/>
      <c r="N493" s="413"/>
      <c r="O493" s="413"/>
      <c r="P493" s="413"/>
      <c r="Q493" s="413"/>
      <c r="R493" s="413"/>
      <c r="S493" s="413"/>
      <c r="T493" s="413"/>
      <c r="U493" s="413"/>
      <c r="V493" s="413"/>
      <c r="W493" s="413"/>
      <c r="X493" s="413"/>
      <c r="Y493" s="413"/>
      <c r="Z493" s="413"/>
    </row>
    <row r="494" ht="12.0" customHeight="1">
      <c r="A494" s="413"/>
      <c r="B494" s="413"/>
      <c r="C494" s="414"/>
      <c r="D494" s="413"/>
      <c r="E494" s="413"/>
      <c r="F494" s="413"/>
      <c r="G494" s="413"/>
      <c r="H494" s="413"/>
      <c r="I494" s="413"/>
      <c r="J494" s="413"/>
      <c r="K494" s="413"/>
      <c r="L494" s="413"/>
      <c r="M494" s="413"/>
      <c r="N494" s="413"/>
      <c r="O494" s="413"/>
      <c r="P494" s="413"/>
      <c r="Q494" s="413"/>
      <c r="R494" s="413"/>
      <c r="S494" s="413"/>
      <c r="T494" s="413"/>
      <c r="U494" s="413"/>
      <c r="V494" s="413"/>
      <c r="W494" s="413"/>
      <c r="X494" s="413"/>
      <c r="Y494" s="413"/>
      <c r="Z494" s="413"/>
    </row>
    <row r="495" ht="12.0" customHeight="1">
      <c r="A495" s="413"/>
      <c r="B495" s="413"/>
      <c r="C495" s="414"/>
      <c r="D495" s="413"/>
      <c r="E495" s="413"/>
      <c r="F495" s="413"/>
      <c r="G495" s="413"/>
      <c r="H495" s="413"/>
      <c r="I495" s="413"/>
      <c r="J495" s="413"/>
      <c r="K495" s="413"/>
      <c r="L495" s="413"/>
      <c r="M495" s="413"/>
      <c r="N495" s="413"/>
      <c r="O495" s="413"/>
      <c r="P495" s="413"/>
      <c r="Q495" s="413"/>
      <c r="R495" s="413"/>
      <c r="S495" s="413"/>
      <c r="T495" s="413"/>
      <c r="U495" s="413"/>
      <c r="V495" s="413"/>
      <c r="W495" s="413"/>
      <c r="X495" s="413"/>
      <c r="Y495" s="413"/>
      <c r="Z495" s="413"/>
    </row>
    <row r="496" ht="12.0" customHeight="1">
      <c r="A496" s="413"/>
      <c r="B496" s="413"/>
      <c r="C496" s="414"/>
      <c r="D496" s="413"/>
      <c r="E496" s="413"/>
      <c r="F496" s="413"/>
      <c r="G496" s="413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  <c r="T496" s="413"/>
      <c r="U496" s="413"/>
      <c r="V496" s="413"/>
      <c r="W496" s="413"/>
      <c r="X496" s="413"/>
      <c r="Y496" s="413"/>
      <c r="Z496" s="413"/>
    </row>
    <row r="497" ht="12.0" customHeight="1">
      <c r="A497" s="413"/>
      <c r="B497" s="413"/>
      <c r="C497" s="414"/>
      <c r="D497" s="413"/>
      <c r="E497" s="413"/>
      <c r="F497" s="413"/>
      <c r="G497" s="413"/>
      <c r="H497" s="413"/>
      <c r="I497" s="413"/>
      <c r="J497" s="413"/>
      <c r="K497" s="413"/>
      <c r="L497" s="413"/>
      <c r="M497" s="413"/>
      <c r="N497" s="413"/>
      <c r="O497" s="413"/>
      <c r="P497" s="413"/>
      <c r="Q497" s="413"/>
      <c r="R497" s="413"/>
      <c r="S497" s="413"/>
      <c r="T497" s="413"/>
      <c r="U497" s="413"/>
      <c r="V497" s="413"/>
      <c r="W497" s="413"/>
      <c r="X497" s="413"/>
      <c r="Y497" s="413"/>
      <c r="Z497" s="413"/>
    </row>
    <row r="498" ht="12.0" customHeight="1">
      <c r="A498" s="413"/>
      <c r="B498" s="413"/>
      <c r="C498" s="414"/>
      <c r="D498" s="413"/>
      <c r="E498" s="413"/>
      <c r="F498" s="413"/>
      <c r="G498" s="413"/>
      <c r="H498" s="413"/>
      <c r="I498" s="413"/>
      <c r="J498" s="413"/>
      <c r="K498" s="413"/>
      <c r="L498" s="413"/>
      <c r="M498" s="413"/>
      <c r="N498" s="413"/>
      <c r="O498" s="413"/>
      <c r="P498" s="413"/>
      <c r="Q498" s="413"/>
      <c r="R498" s="413"/>
      <c r="S498" s="413"/>
      <c r="T498" s="413"/>
      <c r="U498" s="413"/>
      <c r="V498" s="413"/>
      <c r="W498" s="413"/>
      <c r="X498" s="413"/>
      <c r="Y498" s="413"/>
      <c r="Z498" s="413"/>
    </row>
    <row r="499" ht="12.0" customHeight="1">
      <c r="A499" s="413"/>
      <c r="B499" s="413"/>
      <c r="C499" s="414"/>
      <c r="D499" s="413"/>
      <c r="E499" s="413"/>
      <c r="F499" s="413"/>
      <c r="G499" s="413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  <c r="T499" s="413"/>
      <c r="U499" s="413"/>
      <c r="V499" s="413"/>
      <c r="W499" s="413"/>
      <c r="X499" s="413"/>
      <c r="Y499" s="413"/>
      <c r="Z499" s="413"/>
    </row>
    <row r="500" ht="12.0" customHeight="1">
      <c r="A500" s="413"/>
      <c r="B500" s="413"/>
      <c r="C500" s="414"/>
      <c r="D500" s="413"/>
      <c r="E500" s="413"/>
      <c r="F500" s="413"/>
      <c r="G500" s="413"/>
      <c r="H500" s="413"/>
      <c r="I500" s="413"/>
      <c r="J500" s="413"/>
      <c r="K500" s="413"/>
      <c r="L500" s="413"/>
      <c r="M500" s="413"/>
      <c r="N500" s="413"/>
      <c r="O500" s="413"/>
      <c r="P500" s="413"/>
      <c r="Q500" s="413"/>
      <c r="R500" s="413"/>
      <c r="S500" s="413"/>
      <c r="T500" s="413"/>
      <c r="U500" s="413"/>
      <c r="V500" s="413"/>
      <c r="W500" s="413"/>
      <c r="X500" s="413"/>
      <c r="Y500" s="413"/>
      <c r="Z500" s="413"/>
    </row>
    <row r="501" ht="12.0" customHeight="1">
      <c r="A501" s="413"/>
      <c r="B501" s="413"/>
      <c r="C501" s="414"/>
      <c r="D501" s="413"/>
      <c r="E501" s="413"/>
      <c r="F501" s="413"/>
      <c r="G501" s="413"/>
      <c r="H501" s="413"/>
      <c r="I501" s="413"/>
      <c r="J501" s="413"/>
      <c r="K501" s="413"/>
      <c r="L501" s="413"/>
      <c r="M501" s="413"/>
      <c r="N501" s="413"/>
      <c r="O501" s="413"/>
      <c r="P501" s="413"/>
      <c r="Q501" s="413"/>
      <c r="R501" s="413"/>
      <c r="S501" s="413"/>
      <c r="T501" s="413"/>
      <c r="U501" s="413"/>
      <c r="V501" s="413"/>
      <c r="W501" s="413"/>
      <c r="X501" s="413"/>
      <c r="Y501" s="413"/>
      <c r="Z501" s="413"/>
    </row>
    <row r="502" ht="12.0" customHeight="1">
      <c r="A502" s="413"/>
      <c r="B502" s="413"/>
      <c r="C502" s="414"/>
      <c r="D502" s="413"/>
      <c r="E502" s="413"/>
      <c r="F502" s="413"/>
      <c r="G502" s="413"/>
      <c r="H502" s="413"/>
      <c r="I502" s="413"/>
      <c r="J502" s="413"/>
      <c r="K502" s="413"/>
      <c r="L502" s="413"/>
      <c r="M502" s="413"/>
      <c r="N502" s="413"/>
      <c r="O502" s="413"/>
      <c r="P502" s="413"/>
      <c r="Q502" s="413"/>
      <c r="R502" s="413"/>
      <c r="S502" s="413"/>
      <c r="T502" s="413"/>
      <c r="U502" s="413"/>
      <c r="V502" s="413"/>
      <c r="W502" s="413"/>
      <c r="X502" s="413"/>
      <c r="Y502" s="413"/>
      <c r="Z502" s="413"/>
    </row>
    <row r="503" ht="12.0" customHeight="1">
      <c r="A503" s="413"/>
      <c r="B503" s="413"/>
      <c r="C503" s="414"/>
      <c r="D503" s="413"/>
      <c r="E503" s="413"/>
      <c r="F503" s="413"/>
      <c r="G503" s="413"/>
      <c r="H503" s="413"/>
      <c r="I503" s="413"/>
      <c r="J503" s="413"/>
      <c r="K503" s="413"/>
      <c r="L503" s="413"/>
      <c r="M503" s="413"/>
      <c r="N503" s="413"/>
      <c r="O503" s="413"/>
      <c r="P503" s="413"/>
      <c r="Q503" s="413"/>
      <c r="R503" s="413"/>
      <c r="S503" s="413"/>
      <c r="T503" s="413"/>
      <c r="U503" s="413"/>
      <c r="V503" s="413"/>
      <c r="W503" s="413"/>
      <c r="X503" s="413"/>
      <c r="Y503" s="413"/>
      <c r="Z503" s="413"/>
    </row>
    <row r="504" ht="12.0" customHeight="1">
      <c r="A504" s="413"/>
      <c r="B504" s="413"/>
      <c r="C504" s="414"/>
      <c r="D504" s="413"/>
      <c r="E504" s="413"/>
      <c r="F504" s="413"/>
      <c r="G504" s="413"/>
      <c r="H504" s="413"/>
      <c r="I504" s="413"/>
      <c r="J504" s="413"/>
      <c r="K504" s="413"/>
      <c r="L504" s="413"/>
      <c r="M504" s="413"/>
      <c r="N504" s="413"/>
      <c r="O504" s="413"/>
      <c r="P504" s="413"/>
      <c r="Q504" s="413"/>
      <c r="R504" s="413"/>
      <c r="S504" s="413"/>
      <c r="T504" s="413"/>
      <c r="U504" s="413"/>
      <c r="V504" s="413"/>
      <c r="W504" s="413"/>
      <c r="X504" s="413"/>
      <c r="Y504" s="413"/>
      <c r="Z504" s="413"/>
    </row>
    <row r="505" ht="12.0" customHeight="1">
      <c r="A505" s="413"/>
      <c r="B505" s="413"/>
      <c r="C505" s="414"/>
      <c r="D505" s="413"/>
      <c r="E505" s="413"/>
      <c r="F505" s="413"/>
      <c r="G505" s="413"/>
      <c r="H505" s="413"/>
      <c r="I505" s="413"/>
      <c r="J505" s="413"/>
      <c r="K505" s="413"/>
      <c r="L505" s="413"/>
      <c r="M505" s="413"/>
      <c r="N505" s="413"/>
      <c r="O505" s="413"/>
      <c r="P505" s="413"/>
      <c r="Q505" s="413"/>
      <c r="R505" s="413"/>
      <c r="S505" s="413"/>
      <c r="T505" s="413"/>
      <c r="U505" s="413"/>
      <c r="V505" s="413"/>
      <c r="W505" s="413"/>
      <c r="X505" s="413"/>
      <c r="Y505" s="413"/>
      <c r="Z505" s="413"/>
    </row>
    <row r="506" ht="12.0" customHeight="1">
      <c r="A506" s="413"/>
      <c r="B506" s="413"/>
      <c r="C506" s="414"/>
      <c r="D506" s="413"/>
      <c r="E506" s="413"/>
      <c r="F506" s="413"/>
      <c r="G506" s="413"/>
      <c r="H506" s="413"/>
      <c r="I506" s="413"/>
      <c r="J506" s="413"/>
      <c r="K506" s="413"/>
      <c r="L506" s="413"/>
      <c r="M506" s="413"/>
      <c r="N506" s="413"/>
      <c r="O506" s="413"/>
      <c r="P506" s="413"/>
      <c r="Q506" s="413"/>
      <c r="R506" s="413"/>
      <c r="S506" s="413"/>
      <c r="T506" s="413"/>
      <c r="U506" s="413"/>
      <c r="V506" s="413"/>
      <c r="W506" s="413"/>
      <c r="X506" s="413"/>
      <c r="Y506" s="413"/>
      <c r="Z506" s="413"/>
    </row>
    <row r="507" ht="12.0" customHeight="1">
      <c r="A507" s="413"/>
      <c r="B507" s="413"/>
      <c r="C507" s="414"/>
      <c r="D507" s="413"/>
      <c r="E507" s="413"/>
      <c r="F507" s="413"/>
      <c r="G507" s="413"/>
      <c r="H507" s="413"/>
      <c r="I507" s="413"/>
      <c r="J507" s="413"/>
      <c r="K507" s="413"/>
      <c r="L507" s="413"/>
      <c r="M507" s="413"/>
      <c r="N507" s="413"/>
      <c r="O507" s="413"/>
      <c r="P507" s="413"/>
      <c r="Q507" s="413"/>
      <c r="R507" s="413"/>
      <c r="S507" s="413"/>
      <c r="T507" s="413"/>
      <c r="U507" s="413"/>
      <c r="V507" s="413"/>
      <c r="W507" s="413"/>
      <c r="X507" s="413"/>
      <c r="Y507" s="413"/>
      <c r="Z507" s="413"/>
    </row>
    <row r="508" ht="12.0" customHeight="1">
      <c r="A508" s="413"/>
      <c r="B508" s="413"/>
      <c r="C508" s="414"/>
      <c r="D508" s="413"/>
      <c r="E508" s="413"/>
      <c r="F508" s="413"/>
      <c r="G508" s="413"/>
      <c r="H508" s="413"/>
      <c r="I508" s="413"/>
      <c r="J508" s="413"/>
      <c r="K508" s="413"/>
      <c r="L508" s="413"/>
      <c r="M508" s="413"/>
      <c r="N508" s="413"/>
      <c r="O508" s="413"/>
      <c r="P508" s="413"/>
      <c r="Q508" s="413"/>
      <c r="R508" s="413"/>
      <c r="S508" s="413"/>
      <c r="T508" s="413"/>
      <c r="U508" s="413"/>
      <c r="V508" s="413"/>
      <c r="W508" s="413"/>
      <c r="X508" s="413"/>
      <c r="Y508" s="413"/>
      <c r="Z508" s="413"/>
    </row>
    <row r="509" ht="12.0" customHeight="1">
      <c r="A509" s="413"/>
      <c r="B509" s="413"/>
      <c r="C509" s="414"/>
      <c r="D509" s="413"/>
      <c r="E509" s="413"/>
      <c r="F509" s="413"/>
      <c r="G509" s="413"/>
      <c r="H509" s="413"/>
      <c r="I509" s="413"/>
      <c r="J509" s="413"/>
      <c r="K509" s="413"/>
      <c r="L509" s="413"/>
      <c r="M509" s="413"/>
      <c r="N509" s="413"/>
      <c r="O509" s="413"/>
      <c r="P509" s="413"/>
      <c r="Q509" s="413"/>
      <c r="R509" s="413"/>
      <c r="S509" s="413"/>
      <c r="T509" s="413"/>
      <c r="U509" s="413"/>
      <c r="V509" s="413"/>
      <c r="W509" s="413"/>
      <c r="X509" s="413"/>
      <c r="Y509" s="413"/>
      <c r="Z509" s="413"/>
    </row>
    <row r="510" ht="12.0" customHeight="1">
      <c r="A510" s="413"/>
      <c r="B510" s="413"/>
      <c r="C510" s="414"/>
      <c r="D510" s="413"/>
      <c r="E510" s="413"/>
      <c r="F510" s="413"/>
      <c r="G510" s="413"/>
      <c r="H510" s="413"/>
      <c r="I510" s="413"/>
      <c r="J510" s="413"/>
      <c r="K510" s="413"/>
      <c r="L510" s="413"/>
      <c r="M510" s="413"/>
      <c r="N510" s="413"/>
      <c r="O510" s="413"/>
      <c r="P510" s="413"/>
      <c r="Q510" s="413"/>
      <c r="R510" s="413"/>
      <c r="S510" s="413"/>
      <c r="T510" s="413"/>
      <c r="U510" s="413"/>
      <c r="V510" s="413"/>
      <c r="W510" s="413"/>
      <c r="X510" s="413"/>
      <c r="Y510" s="413"/>
      <c r="Z510" s="413"/>
    </row>
    <row r="511" ht="12.0" customHeight="1">
      <c r="A511" s="413"/>
      <c r="B511" s="413"/>
      <c r="C511" s="414"/>
      <c r="D511" s="413"/>
      <c r="E511" s="413"/>
      <c r="F511" s="413"/>
      <c r="G511" s="413"/>
      <c r="H511" s="413"/>
      <c r="I511" s="413"/>
      <c r="J511" s="413"/>
      <c r="K511" s="413"/>
      <c r="L511" s="413"/>
      <c r="M511" s="413"/>
      <c r="N511" s="413"/>
      <c r="O511" s="413"/>
      <c r="P511" s="413"/>
      <c r="Q511" s="413"/>
      <c r="R511" s="413"/>
      <c r="S511" s="413"/>
      <c r="T511" s="413"/>
      <c r="U511" s="413"/>
      <c r="V511" s="413"/>
      <c r="W511" s="413"/>
      <c r="X511" s="413"/>
      <c r="Y511" s="413"/>
      <c r="Z511" s="413"/>
    </row>
    <row r="512" ht="12.0" customHeight="1">
      <c r="A512" s="413"/>
      <c r="B512" s="413"/>
      <c r="C512" s="414"/>
      <c r="D512" s="413"/>
      <c r="E512" s="413"/>
      <c r="F512" s="413"/>
      <c r="G512" s="413"/>
      <c r="H512" s="413"/>
      <c r="I512" s="413"/>
      <c r="J512" s="413"/>
      <c r="K512" s="413"/>
      <c r="L512" s="413"/>
      <c r="M512" s="413"/>
      <c r="N512" s="413"/>
      <c r="O512" s="413"/>
      <c r="P512" s="413"/>
      <c r="Q512" s="413"/>
      <c r="R512" s="413"/>
      <c r="S512" s="413"/>
      <c r="T512" s="413"/>
      <c r="U512" s="413"/>
      <c r="V512" s="413"/>
      <c r="W512" s="413"/>
      <c r="X512" s="413"/>
      <c r="Y512" s="413"/>
      <c r="Z512" s="413"/>
    </row>
    <row r="513" ht="12.0" customHeight="1">
      <c r="A513" s="413"/>
      <c r="B513" s="413"/>
      <c r="C513" s="414"/>
      <c r="D513" s="413"/>
      <c r="E513" s="413"/>
      <c r="F513" s="413"/>
      <c r="G513" s="413"/>
      <c r="H513" s="413"/>
      <c r="I513" s="413"/>
      <c r="J513" s="413"/>
      <c r="K513" s="413"/>
      <c r="L513" s="413"/>
      <c r="M513" s="413"/>
      <c r="N513" s="413"/>
      <c r="O513" s="413"/>
      <c r="P513" s="413"/>
      <c r="Q513" s="413"/>
      <c r="R513" s="413"/>
      <c r="S513" s="413"/>
      <c r="T513" s="413"/>
      <c r="U513" s="413"/>
      <c r="V513" s="413"/>
      <c r="W513" s="413"/>
      <c r="X513" s="413"/>
      <c r="Y513" s="413"/>
      <c r="Z513" s="413"/>
    </row>
    <row r="514" ht="12.0" customHeight="1">
      <c r="A514" s="413"/>
      <c r="B514" s="413"/>
      <c r="C514" s="414"/>
      <c r="D514" s="413"/>
      <c r="E514" s="413"/>
      <c r="F514" s="413"/>
      <c r="G514" s="413"/>
      <c r="H514" s="413"/>
      <c r="I514" s="413"/>
      <c r="J514" s="413"/>
      <c r="K514" s="413"/>
      <c r="L514" s="413"/>
      <c r="M514" s="413"/>
      <c r="N514" s="413"/>
      <c r="O514" s="413"/>
      <c r="P514" s="413"/>
      <c r="Q514" s="413"/>
      <c r="R514" s="413"/>
      <c r="S514" s="413"/>
      <c r="T514" s="413"/>
      <c r="U514" s="413"/>
      <c r="V514" s="413"/>
      <c r="W514" s="413"/>
      <c r="X514" s="413"/>
      <c r="Y514" s="413"/>
      <c r="Z514" s="413"/>
    </row>
    <row r="515" ht="12.0" customHeight="1">
      <c r="A515" s="413"/>
      <c r="B515" s="413"/>
      <c r="C515" s="414"/>
      <c r="D515" s="413"/>
      <c r="E515" s="413"/>
      <c r="F515" s="413"/>
      <c r="G515" s="413"/>
      <c r="H515" s="413"/>
      <c r="I515" s="413"/>
      <c r="J515" s="413"/>
      <c r="K515" s="413"/>
      <c r="L515" s="413"/>
      <c r="M515" s="413"/>
      <c r="N515" s="413"/>
      <c r="O515" s="413"/>
      <c r="P515" s="413"/>
      <c r="Q515" s="413"/>
      <c r="R515" s="413"/>
      <c r="S515" s="413"/>
      <c r="T515" s="413"/>
      <c r="U515" s="413"/>
      <c r="V515" s="413"/>
      <c r="W515" s="413"/>
      <c r="X515" s="413"/>
      <c r="Y515" s="413"/>
      <c r="Z515" s="413"/>
    </row>
    <row r="516" ht="12.0" customHeight="1">
      <c r="A516" s="413"/>
      <c r="B516" s="413"/>
      <c r="C516" s="414"/>
      <c r="D516" s="413"/>
      <c r="E516" s="413"/>
      <c r="F516" s="413"/>
      <c r="G516" s="413"/>
      <c r="H516" s="413"/>
      <c r="I516" s="413"/>
      <c r="J516" s="413"/>
      <c r="K516" s="413"/>
      <c r="L516" s="413"/>
      <c r="M516" s="413"/>
      <c r="N516" s="413"/>
      <c r="O516" s="413"/>
      <c r="P516" s="413"/>
      <c r="Q516" s="413"/>
      <c r="R516" s="413"/>
      <c r="S516" s="413"/>
      <c r="T516" s="413"/>
      <c r="U516" s="413"/>
      <c r="V516" s="413"/>
      <c r="W516" s="413"/>
      <c r="X516" s="413"/>
      <c r="Y516" s="413"/>
      <c r="Z516" s="413"/>
    </row>
    <row r="517" ht="12.0" customHeight="1">
      <c r="A517" s="413"/>
      <c r="B517" s="413"/>
      <c r="C517" s="414"/>
      <c r="D517" s="413"/>
      <c r="E517" s="413"/>
      <c r="F517" s="413"/>
      <c r="G517" s="413"/>
      <c r="H517" s="413"/>
      <c r="I517" s="413"/>
      <c r="J517" s="413"/>
      <c r="K517" s="413"/>
      <c r="L517" s="413"/>
      <c r="M517" s="413"/>
      <c r="N517" s="413"/>
      <c r="O517" s="413"/>
      <c r="P517" s="413"/>
      <c r="Q517" s="413"/>
      <c r="R517" s="413"/>
      <c r="S517" s="413"/>
      <c r="T517" s="413"/>
      <c r="U517" s="413"/>
      <c r="V517" s="413"/>
      <c r="W517" s="413"/>
      <c r="X517" s="413"/>
      <c r="Y517" s="413"/>
      <c r="Z517" s="413"/>
    </row>
    <row r="518" ht="12.0" customHeight="1">
      <c r="A518" s="413"/>
      <c r="B518" s="413"/>
      <c r="C518" s="414"/>
      <c r="D518" s="413"/>
      <c r="E518" s="413"/>
      <c r="F518" s="413"/>
      <c r="G518" s="413"/>
      <c r="H518" s="413"/>
      <c r="I518" s="413"/>
      <c r="J518" s="413"/>
      <c r="K518" s="413"/>
      <c r="L518" s="413"/>
      <c r="M518" s="413"/>
      <c r="N518" s="413"/>
      <c r="O518" s="413"/>
      <c r="P518" s="413"/>
      <c r="Q518" s="413"/>
      <c r="R518" s="413"/>
      <c r="S518" s="413"/>
      <c r="T518" s="413"/>
      <c r="U518" s="413"/>
      <c r="V518" s="413"/>
      <c r="W518" s="413"/>
      <c r="X518" s="413"/>
      <c r="Y518" s="413"/>
      <c r="Z518" s="413"/>
    </row>
    <row r="519" ht="12.0" customHeight="1">
      <c r="A519" s="413"/>
      <c r="B519" s="413"/>
      <c r="C519" s="414"/>
      <c r="D519" s="413"/>
      <c r="E519" s="413"/>
      <c r="F519" s="413"/>
      <c r="G519" s="413"/>
      <c r="H519" s="413"/>
      <c r="I519" s="413"/>
      <c r="J519" s="413"/>
      <c r="K519" s="413"/>
      <c r="L519" s="413"/>
      <c r="M519" s="413"/>
      <c r="N519" s="413"/>
      <c r="O519" s="413"/>
      <c r="P519" s="413"/>
      <c r="Q519" s="413"/>
      <c r="R519" s="413"/>
      <c r="S519" s="413"/>
      <c r="T519" s="413"/>
      <c r="U519" s="413"/>
      <c r="V519" s="413"/>
      <c r="W519" s="413"/>
      <c r="X519" s="413"/>
      <c r="Y519" s="413"/>
      <c r="Z519" s="413"/>
    </row>
    <row r="520" ht="12.0" customHeight="1">
      <c r="A520" s="413"/>
      <c r="B520" s="413"/>
      <c r="C520" s="414"/>
      <c r="D520" s="413"/>
      <c r="E520" s="413"/>
      <c r="F520" s="413"/>
      <c r="G520" s="413"/>
      <c r="H520" s="413"/>
      <c r="I520" s="413"/>
      <c r="J520" s="413"/>
      <c r="K520" s="413"/>
      <c r="L520" s="413"/>
      <c r="M520" s="413"/>
      <c r="N520" s="413"/>
      <c r="O520" s="413"/>
      <c r="P520" s="413"/>
      <c r="Q520" s="413"/>
      <c r="R520" s="413"/>
      <c r="S520" s="413"/>
      <c r="T520" s="413"/>
      <c r="U520" s="413"/>
      <c r="V520" s="413"/>
      <c r="W520" s="413"/>
      <c r="X520" s="413"/>
      <c r="Y520" s="413"/>
      <c r="Z520" s="413"/>
    </row>
    <row r="521" ht="12.0" customHeight="1">
      <c r="A521" s="413"/>
      <c r="B521" s="413"/>
      <c r="C521" s="414"/>
      <c r="D521" s="413"/>
      <c r="E521" s="413"/>
      <c r="F521" s="413"/>
      <c r="G521" s="413"/>
      <c r="H521" s="413"/>
      <c r="I521" s="413"/>
      <c r="J521" s="413"/>
      <c r="K521" s="413"/>
      <c r="L521" s="413"/>
      <c r="M521" s="413"/>
      <c r="N521" s="413"/>
      <c r="O521" s="413"/>
      <c r="P521" s="413"/>
      <c r="Q521" s="413"/>
      <c r="R521" s="413"/>
      <c r="S521" s="413"/>
      <c r="T521" s="413"/>
      <c r="U521" s="413"/>
      <c r="V521" s="413"/>
      <c r="W521" s="413"/>
      <c r="X521" s="413"/>
      <c r="Y521" s="413"/>
      <c r="Z521" s="413"/>
    </row>
    <row r="522" ht="12.0" customHeight="1">
      <c r="A522" s="413"/>
      <c r="B522" s="413"/>
      <c r="C522" s="414"/>
      <c r="D522" s="413"/>
      <c r="E522" s="413"/>
      <c r="F522" s="413"/>
      <c r="G522" s="413"/>
      <c r="H522" s="413"/>
      <c r="I522" s="413"/>
      <c r="J522" s="413"/>
      <c r="K522" s="413"/>
      <c r="L522" s="413"/>
      <c r="M522" s="413"/>
      <c r="N522" s="413"/>
      <c r="O522" s="413"/>
      <c r="P522" s="413"/>
      <c r="Q522" s="413"/>
      <c r="R522" s="413"/>
      <c r="S522" s="413"/>
      <c r="T522" s="413"/>
      <c r="U522" s="413"/>
      <c r="V522" s="413"/>
      <c r="W522" s="413"/>
      <c r="X522" s="413"/>
      <c r="Y522" s="413"/>
      <c r="Z522" s="413"/>
    </row>
    <row r="523" ht="12.0" customHeight="1">
      <c r="A523" s="413"/>
      <c r="B523" s="413"/>
      <c r="C523" s="414"/>
      <c r="D523" s="413"/>
      <c r="E523" s="413"/>
      <c r="F523" s="413"/>
      <c r="G523" s="413"/>
      <c r="H523" s="413"/>
      <c r="I523" s="413"/>
      <c r="J523" s="413"/>
      <c r="K523" s="413"/>
      <c r="L523" s="413"/>
      <c r="M523" s="413"/>
      <c r="N523" s="413"/>
      <c r="O523" s="413"/>
      <c r="P523" s="413"/>
      <c r="Q523" s="413"/>
      <c r="R523" s="413"/>
      <c r="S523" s="413"/>
      <c r="T523" s="413"/>
      <c r="U523" s="413"/>
      <c r="V523" s="413"/>
      <c r="W523" s="413"/>
      <c r="X523" s="413"/>
      <c r="Y523" s="413"/>
      <c r="Z523" s="413"/>
    </row>
    <row r="524" ht="12.0" customHeight="1">
      <c r="A524" s="413"/>
      <c r="B524" s="413"/>
      <c r="C524" s="414"/>
      <c r="D524" s="413"/>
      <c r="E524" s="413"/>
      <c r="F524" s="413"/>
      <c r="G524" s="413"/>
      <c r="H524" s="413"/>
      <c r="I524" s="413"/>
      <c r="J524" s="413"/>
      <c r="K524" s="413"/>
      <c r="L524" s="413"/>
      <c r="M524" s="413"/>
      <c r="N524" s="413"/>
      <c r="O524" s="413"/>
      <c r="P524" s="413"/>
      <c r="Q524" s="413"/>
      <c r="R524" s="413"/>
      <c r="S524" s="413"/>
      <c r="T524" s="413"/>
      <c r="U524" s="413"/>
      <c r="V524" s="413"/>
      <c r="W524" s="413"/>
      <c r="X524" s="413"/>
      <c r="Y524" s="413"/>
      <c r="Z524" s="413"/>
    </row>
    <row r="525" ht="12.0" customHeight="1">
      <c r="A525" s="413"/>
      <c r="B525" s="413"/>
      <c r="C525" s="414"/>
      <c r="D525" s="413"/>
      <c r="E525" s="413"/>
      <c r="F525" s="413"/>
      <c r="G525" s="413"/>
      <c r="H525" s="413"/>
      <c r="I525" s="413"/>
      <c r="J525" s="413"/>
      <c r="K525" s="413"/>
      <c r="L525" s="413"/>
      <c r="M525" s="413"/>
      <c r="N525" s="413"/>
      <c r="O525" s="413"/>
      <c r="P525" s="413"/>
      <c r="Q525" s="413"/>
      <c r="R525" s="413"/>
      <c r="S525" s="413"/>
      <c r="T525" s="413"/>
      <c r="U525" s="413"/>
      <c r="V525" s="413"/>
      <c r="W525" s="413"/>
      <c r="X525" s="413"/>
      <c r="Y525" s="413"/>
      <c r="Z525" s="413"/>
    </row>
    <row r="526" ht="12.0" customHeight="1">
      <c r="A526" s="413"/>
      <c r="B526" s="413"/>
      <c r="C526" s="414"/>
      <c r="D526" s="413"/>
      <c r="E526" s="413"/>
      <c r="F526" s="413"/>
      <c r="G526" s="413"/>
      <c r="H526" s="413"/>
      <c r="I526" s="413"/>
      <c r="J526" s="413"/>
      <c r="K526" s="413"/>
      <c r="L526" s="413"/>
      <c r="M526" s="413"/>
      <c r="N526" s="413"/>
      <c r="O526" s="413"/>
      <c r="P526" s="413"/>
      <c r="Q526" s="413"/>
      <c r="R526" s="413"/>
      <c r="S526" s="413"/>
      <c r="T526" s="413"/>
      <c r="U526" s="413"/>
      <c r="V526" s="413"/>
      <c r="W526" s="413"/>
      <c r="X526" s="413"/>
      <c r="Y526" s="413"/>
      <c r="Z526" s="413"/>
    </row>
    <row r="527" ht="12.0" customHeight="1">
      <c r="A527" s="413"/>
      <c r="B527" s="413"/>
      <c r="C527" s="414"/>
      <c r="D527" s="413"/>
      <c r="E527" s="413"/>
      <c r="F527" s="413"/>
      <c r="G527" s="413"/>
      <c r="H527" s="413"/>
      <c r="I527" s="413"/>
      <c r="J527" s="413"/>
      <c r="K527" s="413"/>
      <c r="L527" s="413"/>
      <c r="M527" s="413"/>
      <c r="N527" s="413"/>
      <c r="O527" s="413"/>
      <c r="P527" s="413"/>
      <c r="Q527" s="413"/>
      <c r="R527" s="413"/>
      <c r="S527" s="413"/>
      <c r="T527" s="413"/>
      <c r="U527" s="413"/>
      <c r="V527" s="413"/>
      <c r="W527" s="413"/>
      <c r="X527" s="413"/>
      <c r="Y527" s="413"/>
      <c r="Z527" s="413"/>
    </row>
    <row r="528" ht="12.0" customHeight="1">
      <c r="A528" s="413"/>
      <c r="B528" s="413"/>
      <c r="C528" s="414"/>
      <c r="D528" s="413"/>
      <c r="E528" s="413"/>
      <c r="F528" s="413"/>
      <c r="G528" s="413"/>
      <c r="H528" s="413"/>
      <c r="I528" s="413"/>
      <c r="J528" s="413"/>
      <c r="K528" s="413"/>
      <c r="L528" s="413"/>
      <c r="M528" s="413"/>
      <c r="N528" s="413"/>
      <c r="O528" s="413"/>
      <c r="P528" s="413"/>
      <c r="Q528" s="413"/>
      <c r="R528" s="413"/>
      <c r="S528" s="413"/>
      <c r="T528" s="413"/>
      <c r="U528" s="413"/>
      <c r="V528" s="413"/>
      <c r="W528" s="413"/>
      <c r="X528" s="413"/>
      <c r="Y528" s="413"/>
      <c r="Z528" s="413"/>
    </row>
    <row r="529" ht="12.0" customHeight="1">
      <c r="A529" s="413"/>
      <c r="B529" s="413"/>
      <c r="C529" s="414"/>
      <c r="D529" s="413"/>
      <c r="E529" s="413"/>
      <c r="F529" s="413"/>
      <c r="G529" s="413"/>
      <c r="H529" s="413"/>
      <c r="I529" s="413"/>
      <c r="J529" s="413"/>
      <c r="K529" s="413"/>
      <c r="L529" s="413"/>
      <c r="M529" s="413"/>
      <c r="N529" s="413"/>
      <c r="O529" s="413"/>
      <c r="P529" s="413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</row>
    <row r="530" ht="12.0" customHeight="1">
      <c r="A530" s="413"/>
      <c r="B530" s="413"/>
      <c r="C530" s="414"/>
      <c r="D530" s="413"/>
      <c r="E530" s="413"/>
      <c r="F530" s="413"/>
      <c r="G530" s="413"/>
      <c r="H530" s="413"/>
      <c r="I530" s="413"/>
      <c r="J530" s="413"/>
      <c r="K530" s="413"/>
      <c r="L530" s="413"/>
      <c r="M530" s="413"/>
      <c r="N530" s="413"/>
      <c r="O530" s="413"/>
      <c r="P530" s="413"/>
      <c r="Q530" s="413"/>
      <c r="R530" s="413"/>
      <c r="S530" s="413"/>
      <c r="T530" s="413"/>
      <c r="U530" s="413"/>
      <c r="V530" s="413"/>
      <c r="W530" s="413"/>
      <c r="X530" s="413"/>
      <c r="Y530" s="413"/>
      <c r="Z530" s="413"/>
    </row>
    <row r="531" ht="12.0" customHeight="1">
      <c r="A531" s="413"/>
      <c r="B531" s="413"/>
      <c r="C531" s="414"/>
      <c r="D531" s="413"/>
      <c r="E531" s="413"/>
      <c r="F531" s="413"/>
      <c r="G531" s="413"/>
      <c r="H531" s="413"/>
      <c r="I531" s="413"/>
      <c r="J531" s="413"/>
      <c r="K531" s="413"/>
      <c r="L531" s="413"/>
      <c r="M531" s="413"/>
      <c r="N531" s="413"/>
      <c r="O531" s="413"/>
      <c r="P531" s="413"/>
      <c r="Q531" s="413"/>
      <c r="R531" s="413"/>
      <c r="S531" s="413"/>
      <c r="T531" s="413"/>
      <c r="U531" s="413"/>
      <c r="V531" s="413"/>
      <c r="W531" s="413"/>
      <c r="X531" s="413"/>
      <c r="Y531" s="413"/>
      <c r="Z531" s="413"/>
    </row>
    <row r="532" ht="12.0" customHeight="1">
      <c r="A532" s="413"/>
      <c r="B532" s="413"/>
      <c r="C532" s="414"/>
      <c r="D532" s="413"/>
      <c r="E532" s="413"/>
      <c r="F532" s="413"/>
      <c r="G532" s="413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  <c r="T532" s="413"/>
      <c r="U532" s="413"/>
      <c r="V532" s="413"/>
      <c r="W532" s="413"/>
      <c r="X532" s="413"/>
      <c r="Y532" s="413"/>
      <c r="Z532" s="413"/>
    </row>
    <row r="533" ht="12.0" customHeight="1">
      <c r="A533" s="413"/>
      <c r="B533" s="413"/>
      <c r="C533" s="414"/>
      <c r="D533" s="413"/>
      <c r="E533" s="413"/>
      <c r="F533" s="413"/>
      <c r="G533" s="413"/>
      <c r="H533" s="413"/>
      <c r="I533" s="413"/>
      <c r="J533" s="413"/>
      <c r="K533" s="413"/>
      <c r="L533" s="413"/>
      <c r="M533" s="413"/>
      <c r="N533" s="413"/>
      <c r="O533" s="413"/>
      <c r="P533" s="413"/>
      <c r="Q533" s="413"/>
      <c r="R533" s="413"/>
      <c r="S533" s="413"/>
      <c r="T533" s="413"/>
      <c r="U533" s="413"/>
      <c r="V533" s="413"/>
      <c r="W533" s="413"/>
      <c r="X533" s="413"/>
      <c r="Y533" s="413"/>
      <c r="Z533" s="413"/>
    </row>
    <row r="534" ht="12.0" customHeight="1">
      <c r="A534" s="413"/>
      <c r="B534" s="413"/>
      <c r="C534" s="414"/>
      <c r="D534" s="413"/>
      <c r="E534" s="413"/>
      <c r="F534" s="413"/>
      <c r="G534" s="413"/>
      <c r="H534" s="413"/>
      <c r="I534" s="413"/>
      <c r="J534" s="413"/>
      <c r="K534" s="413"/>
      <c r="L534" s="413"/>
      <c r="M534" s="413"/>
      <c r="N534" s="413"/>
      <c r="O534" s="413"/>
      <c r="P534" s="413"/>
      <c r="Q534" s="413"/>
      <c r="R534" s="413"/>
      <c r="S534" s="413"/>
      <c r="T534" s="413"/>
      <c r="U534" s="413"/>
      <c r="V534" s="413"/>
      <c r="W534" s="413"/>
      <c r="X534" s="413"/>
      <c r="Y534" s="413"/>
      <c r="Z534" s="413"/>
    </row>
    <row r="535" ht="12.0" customHeight="1">
      <c r="A535" s="413"/>
      <c r="B535" s="413"/>
      <c r="C535" s="414"/>
      <c r="D535" s="413"/>
      <c r="E535" s="413"/>
      <c r="F535" s="413"/>
      <c r="G535" s="413"/>
      <c r="H535" s="413"/>
      <c r="I535" s="413"/>
      <c r="J535" s="413"/>
      <c r="K535" s="413"/>
      <c r="L535" s="413"/>
      <c r="M535" s="413"/>
      <c r="N535" s="413"/>
      <c r="O535" s="413"/>
      <c r="P535" s="413"/>
      <c r="Q535" s="413"/>
      <c r="R535" s="413"/>
      <c r="S535" s="413"/>
      <c r="T535" s="413"/>
      <c r="U535" s="413"/>
      <c r="V535" s="413"/>
      <c r="W535" s="413"/>
      <c r="X535" s="413"/>
      <c r="Y535" s="413"/>
      <c r="Z535" s="413"/>
    </row>
    <row r="536" ht="12.0" customHeight="1">
      <c r="A536" s="413"/>
      <c r="B536" s="413"/>
      <c r="C536" s="414"/>
      <c r="D536" s="413"/>
      <c r="E536" s="413"/>
      <c r="F536" s="413"/>
      <c r="G536" s="413"/>
      <c r="H536" s="413"/>
      <c r="I536" s="413"/>
      <c r="J536" s="413"/>
      <c r="K536" s="413"/>
      <c r="L536" s="413"/>
      <c r="M536" s="413"/>
      <c r="N536" s="413"/>
      <c r="O536" s="413"/>
      <c r="P536" s="413"/>
      <c r="Q536" s="413"/>
      <c r="R536" s="413"/>
      <c r="S536" s="413"/>
      <c r="T536" s="413"/>
      <c r="U536" s="413"/>
      <c r="V536" s="413"/>
      <c r="W536" s="413"/>
      <c r="X536" s="413"/>
      <c r="Y536" s="413"/>
      <c r="Z536" s="413"/>
    </row>
    <row r="537" ht="12.0" customHeight="1">
      <c r="A537" s="413"/>
      <c r="B537" s="413"/>
      <c r="C537" s="414"/>
      <c r="D537" s="413"/>
      <c r="E537" s="413"/>
      <c r="F537" s="413"/>
      <c r="G537" s="413"/>
      <c r="H537" s="413"/>
      <c r="I537" s="413"/>
      <c r="J537" s="413"/>
      <c r="K537" s="413"/>
      <c r="L537" s="413"/>
      <c r="M537" s="413"/>
      <c r="N537" s="413"/>
      <c r="O537" s="413"/>
      <c r="P537" s="413"/>
      <c r="Q537" s="413"/>
      <c r="R537" s="413"/>
      <c r="S537" s="413"/>
      <c r="T537" s="413"/>
      <c r="U537" s="413"/>
      <c r="V537" s="413"/>
      <c r="W537" s="413"/>
      <c r="X537" s="413"/>
      <c r="Y537" s="413"/>
      <c r="Z537" s="413"/>
    </row>
    <row r="538" ht="12.0" customHeight="1">
      <c r="A538" s="413"/>
      <c r="B538" s="413"/>
      <c r="C538" s="414"/>
      <c r="D538" s="413"/>
      <c r="E538" s="413"/>
      <c r="F538" s="413"/>
      <c r="G538" s="413"/>
      <c r="H538" s="413"/>
      <c r="I538" s="413"/>
      <c r="J538" s="413"/>
      <c r="K538" s="413"/>
      <c r="L538" s="413"/>
      <c r="M538" s="413"/>
      <c r="N538" s="413"/>
      <c r="O538" s="413"/>
      <c r="P538" s="413"/>
      <c r="Q538" s="413"/>
      <c r="R538" s="413"/>
      <c r="S538" s="413"/>
      <c r="T538" s="413"/>
      <c r="U538" s="413"/>
      <c r="V538" s="413"/>
      <c r="W538" s="413"/>
      <c r="X538" s="413"/>
      <c r="Y538" s="413"/>
      <c r="Z538" s="413"/>
    </row>
    <row r="539" ht="12.0" customHeight="1">
      <c r="A539" s="413"/>
      <c r="B539" s="413"/>
      <c r="C539" s="414"/>
      <c r="D539" s="413"/>
      <c r="E539" s="413"/>
      <c r="F539" s="413"/>
      <c r="G539" s="413"/>
      <c r="H539" s="413"/>
      <c r="I539" s="413"/>
      <c r="J539" s="413"/>
      <c r="K539" s="413"/>
      <c r="L539" s="413"/>
      <c r="M539" s="413"/>
      <c r="N539" s="413"/>
      <c r="O539" s="413"/>
      <c r="P539" s="413"/>
      <c r="Q539" s="413"/>
      <c r="R539" s="413"/>
      <c r="S539" s="413"/>
      <c r="T539" s="413"/>
      <c r="U539" s="413"/>
      <c r="V539" s="413"/>
      <c r="W539" s="413"/>
      <c r="X539" s="413"/>
      <c r="Y539" s="413"/>
      <c r="Z539" s="413"/>
    </row>
    <row r="540" ht="12.0" customHeight="1">
      <c r="A540" s="413"/>
      <c r="B540" s="413"/>
      <c r="C540" s="414"/>
      <c r="D540" s="413"/>
      <c r="E540" s="413"/>
      <c r="F540" s="413"/>
      <c r="G540" s="413"/>
      <c r="H540" s="413"/>
      <c r="I540" s="413"/>
      <c r="J540" s="413"/>
      <c r="K540" s="413"/>
      <c r="L540" s="413"/>
      <c r="M540" s="413"/>
      <c r="N540" s="413"/>
      <c r="O540" s="413"/>
      <c r="P540" s="413"/>
      <c r="Q540" s="413"/>
      <c r="R540" s="413"/>
      <c r="S540" s="413"/>
      <c r="T540" s="413"/>
      <c r="U540" s="413"/>
      <c r="V540" s="413"/>
      <c r="W540" s="413"/>
      <c r="X540" s="413"/>
      <c r="Y540" s="413"/>
      <c r="Z540" s="413"/>
    </row>
    <row r="541" ht="12.0" customHeight="1">
      <c r="A541" s="413"/>
      <c r="B541" s="413"/>
      <c r="C541" s="414"/>
      <c r="D541" s="413"/>
      <c r="E541" s="413"/>
      <c r="F541" s="413"/>
      <c r="G541" s="413"/>
      <c r="H541" s="413"/>
      <c r="I541" s="413"/>
      <c r="J541" s="413"/>
      <c r="K541" s="413"/>
      <c r="L541" s="413"/>
      <c r="M541" s="413"/>
      <c r="N541" s="413"/>
      <c r="O541" s="413"/>
      <c r="P541" s="413"/>
      <c r="Q541" s="413"/>
      <c r="R541" s="413"/>
      <c r="S541" s="413"/>
      <c r="T541" s="413"/>
      <c r="U541" s="413"/>
      <c r="V541" s="413"/>
      <c r="W541" s="413"/>
      <c r="X541" s="413"/>
      <c r="Y541" s="413"/>
      <c r="Z541" s="413"/>
    </row>
    <row r="542" ht="12.0" customHeight="1">
      <c r="A542" s="413"/>
      <c r="B542" s="413"/>
      <c r="C542" s="414"/>
      <c r="D542" s="413"/>
      <c r="E542" s="413"/>
      <c r="F542" s="413"/>
      <c r="G542" s="413"/>
      <c r="H542" s="413"/>
      <c r="I542" s="413"/>
      <c r="J542" s="413"/>
      <c r="K542" s="413"/>
      <c r="L542" s="413"/>
      <c r="M542" s="413"/>
      <c r="N542" s="413"/>
      <c r="O542" s="413"/>
      <c r="P542" s="413"/>
      <c r="Q542" s="413"/>
      <c r="R542" s="413"/>
      <c r="S542" s="413"/>
      <c r="T542" s="413"/>
      <c r="U542" s="413"/>
      <c r="V542" s="413"/>
      <c r="W542" s="413"/>
      <c r="X542" s="413"/>
      <c r="Y542" s="413"/>
      <c r="Z542" s="413"/>
    </row>
    <row r="543" ht="12.0" customHeight="1">
      <c r="A543" s="413"/>
      <c r="B543" s="413"/>
      <c r="C543" s="414"/>
      <c r="D543" s="413"/>
      <c r="E543" s="413"/>
      <c r="F543" s="413"/>
      <c r="G543" s="413"/>
      <c r="H543" s="413"/>
      <c r="I543" s="413"/>
      <c r="J543" s="413"/>
      <c r="K543" s="413"/>
      <c r="L543" s="413"/>
      <c r="M543" s="413"/>
      <c r="N543" s="413"/>
      <c r="O543" s="413"/>
      <c r="P543" s="413"/>
      <c r="Q543" s="413"/>
      <c r="R543" s="413"/>
      <c r="S543" s="413"/>
      <c r="T543" s="413"/>
      <c r="U543" s="413"/>
      <c r="V543" s="413"/>
      <c r="W543" s="413"/>
      <c r="X543" s="413"/>
      <c r="Y543" s="413"/>
      <c r="Z543" s="413"/>
    </row>
    <row r="544" ht="12.0" customHeight="1">
      <c r="A544" s="413"/>
      <c r="B544" s="413"/>
      <c r="C544" s="414"/>
      <c r="D544" s="413"/>
      <c r="E544" s="413"/>
      <c r="F544" s="413"/>
      <c r="G544" s="413"/>
      <c r="H544" s="413"/>
      <c r="I544" s="413"/>
      <c r="J544" s="413"/>
      <c r="K544" s="413"/>
      <c r="L544" s="413"/>
      <c r="M544" s="413"/>
      <c r="N544" s="413"/>
      <c r="O544" s="413"/>
      <c r="P544" s="413"/>
      <c r="Q544" s="413"/>
      <c r="R544" s="413"/>
      <c r="S544" s="413"/>
      <c r="T544" s="413"/>
      <c r="U544" s="413"/>
      <c r="V544" s="413"/>
      <c r="W544" s="413"/>
      <c r="X544" s="413"/>
      <c r="Y544" s="413"/>
      <c r="Z544" s="413"/>
    </row>
    <row r="545" ht="12.0" customHeight="1">
      <c r="A545" s="413"/>
      <c r="B545" s="413"/>
      <c r="C545" s="414"/>
      <c r="D545" s="413"/>
      <c r="E545" s="413"/>
      <c r="F545" s="413"/>
      <c r="G545" s="413"/>
      <c r="H545" s="413"/>
      <c r="I545" s="413"/>
      <c r="J545" s="413"/>
      <c r="K545" s="413"/>
      <c r="L545" s="413"/>
      <c r="M545" s="413"/>
      <c r="N545" s="413"/>
      <c r="O545" s="413"/>
      <c r="P545" s="413"/>
      <c r="Q545" s="413"/>
      <c r="R545" s="413"/>
      <c r="S545" s="413"/>
      <c r="T545" s="413"/>
      <c r="U545" s="413"/>
      <c r="V545" s="413"/>
      <c r="W545" s="413"/>
      <c r="X545" s="413"/>
      <c r="Y545" s="413"/>
      <c r="Z545" s="413"/>
    </row>
    <row r="546" ht="12.0" customHeight="1">
      <c r="A546" s="413"/>
      <c r="B546" s="413"/>
      <c r="C546" s="414"/>
      <c r="D546" s="413"/>
      <c r="E546" s="413"/>
      <c r="F546" s="413"/>
      <c r="G546" s="413"/>
      <c r="H546" s="413"/>
      <c r="I546" s="413"/>
      <c r="J546" s="413"/>
      <c r="K546" s="413"/>
      <c r="L546" s="413"/>
      <c r="M546" s="413"/>
      <c r="N546" s="413"/>
      <c r="O546" s="413"/>
      <c r="P546" s="413"/>
      <c r="Q546" s="413"/>
      <c r="R546" s="413"/>
      <c r="S546" s="413"/>
      <c r="T546" s="413"/>
      <c r="U546" s="413"/>
      <c r="V546" s="413"/>
      <c r="W546" s="413"/>
      <c r="X546" s="413"/>
      <c r="Y546" s="413"/>
      <c r="Z546" s="413"/>
    </row>
    <row r="547" ht="12.0" customHeight="1">
      <c r="A547" s="413"/>
      <c r="B547" s="413"/>
      <c r="C547" s="414"/>
      <c r="D547" s="413"/>
      <c r="E547" s="413"/>
      <c r="F547" s="413"/>
      <c r="G547" s="413"/>
      <c r="H547" s="413"/>
      <c r="I547" s="413"/>
      <c r="J547" s="413"/>
      <c r="K547" s="413"/>
      <c r="L547" s="413"/>
      <c r="M547" s="413"/>
      <c r="N547" s="413"/>
      <c r="O547" s="413"/>
      <c r="P547" s="413"/>
      <c r="Q547" s="413"/>
      <c r="R547" s="413"/>
      <c r="S547" s="413"/>
      <c r="T547" s="413"/>
      <c r="U547" s="413"/>
      <c r="V547" s="413"/>
      <c r="W547" s="413"/>
      <c r="X547" s="413"/>
      <c r="Y547" s="413"/>
      <c r="Z547" s="413"/>
    </row>
    <row r="548" ht="12.0" customHeight="1">
      <c r="A548" s="413"/>
      <c r="B548" s="413"/>
      <c r="C548" s="414"/>
      <c r="D548" s="413"/>
      <c r="E548" s="413"/>
      <c r="F548" s="413"/>
      <c r="G548" s="413"/>
      <c r="H548" s="413"/>
      <c r="I548" s="413"/>
      <c r="J548" s="413"/>
      <c r="K548" s="413"/>
      <c r="L548" s="413"/>
      <c r="M548" s="413"/>
      <c r="N548" s="413"/>
      <c r="O548" s="413"/>
      <c r="P548" s="413"/>
      <c r="Q548" s="413"/>
      <c r="R548" s="413"/>
      <c r="S548" s="413"/>
      <c r="T548" s="413"/>
      <c r="U548" s="413"/>
      <c r="V548" s="413"/>
      <c r="W548" s="413"/>
      <c r="X548" s="413"/>
      <c r="Y548" s="413"/>
      <c r="Z548" s="413"/>
    </row>
    <row r="549" ht="12.0" customHeight="1">
      <c r="A549" s="413"/>
      <c r="B549" s="413"/>
      <c r="C549" s="414"/>
      <c r="D549" s="413"/>
      <c r="E549" s="413"/>
      <c r="F549" s="413"/>
      <c r="G549" s="413"/>
      <c r="H549" s="413"/>
      <c r="I549" s="413"/>
      <c r="J549" s="413"/>
      <c r="K549" s="413"/>
      <c r="L549" s="413"/>
      <c r="M549" s="413"/>
      <c r="N549" s="413"/>
      <c r="O549" s="413"/>
      <c r="P549" s="413"/>
      <c r="Q549" s="413"/>
      <c r="R549" s="413"/>
      <c r="S549" s="413"/>
      <c r="T549" s="413"/>
      <c r="U549" s="413"/>
      <c r="V549" s="413"/>
      <c r="W549" s="413"/>
      <c r="X549" s="413"/>
      <c r="Y549" s="413"/>
      <c r="Z549" s="413"/>
    </row>
    <row r="550" ht="12.0" customHeight="1">
      <c r="A550" s="413"/>
      <c r="B550" s="413"/>
      <c r="C550" s="414"/>
      <c r="D550" s="413"/>
      <c r="E550" s="413"/>
      <c r="F550" s="413"/>
      <c r="G550" s="413"/>
      <c r="H550" s="413"/>
      <c r="I550" s="413"/>
      <c r="J550" s="413"/>
      <c r="K550" s="413"/>
      <c r="L550" s="413"/>
      <c r="M550" s="413"/>
      <c r="N550" s="413"/>
      <c r="O550" s="413"/>
      <c r="P550" s="413"/>
      <c r="Q550" s="413"/>
      <c r="R550" s="413"/>
      <c r="S550" s="413"/>
      <c r="T550" s="413"/>
      <c r="U550" s="413"/>
      <c r="V550" s="413"/>
      <c r="W550" s="413"/>
      <c r="X550" s="413"/>
      <c r="Y550" s="413"/>
      <c r="Z550" s="413"/>
    </row>
    <row r="551" ht="12.0" customHeight="1">
      <c r="A551" s="413"/>
      <c r="B551" s="413"/>
      <c r="C551" s="414"/>
      <c r="D551" s="413"/>
      <c r="E551" s="413"/>
      <c r="F551" s="413"/>
      <c r="G551" s="413"/>
      <c r="H551" s="413"/>
      <c r="I551" s="413"/>
      <c r="J551" s="413"/>
      <c r="K551" s="413"/>
      <c r="L551" s="413"/>
      <c r="M551" s="413"/>
      <c r="N551" s="413"/>
      <c r="O551" s="413"/>
      <c r="P551" s="413"/>
      <c r="Q551" s="413"/>
      <c r="R551" s="413"/>
      <c r="S551" s="413"/>
      <c r="T551" s="413"/>
      <c r="U551" s="413"/>
      <c r="V551" s="413"/>
      <c r="W551" s="413"/>
      <c r="X551" s="413"/>
      <c r="Y551" s="413"/>
      <c r="Z551" s="413"/>
    </row>
    <row r="552" ht="12.0" customHeight="1">
      <c r="A552" s="413"/>
      <c r="B552" s="413"/>
      <c r="C552" s="414"/>
      <c r="D552" s="413"/>
      <c r="E552" s="413"/>
      <c r="F552" s="413"/>
      <c r="G552" s="413"/>
      <c r="H552" s="413"/>
      <c r="I552" s="413"/>
      <c r="J552" s="413"/>
      <c r="K552" s="413"/>
      <c r="L552" s="413"/>
      <c r="M552" s="413"/>
      <c r="N552" s="413"/>
      <c r="O552" s="413"/>
      <c r="P552" s="413"/>
      <c r="Q552" s="413"/>
      <c r="R552" s="413"/>
      <c r="S552" s="413"/>
      <c r="T552" s="413"/>
      <c r="U552" s="413"/>
      <c r="V552" s="413"/>
      <c r="W552" s="413"/>
      <c r="X552" s="413"/>
      <c r="Y552" s="413"/>
      <c r="Z552" s="413"/>
    </row>
    <row r="553" ht="12.0" customHeight="1">
      <c r="A553" s="413"/>
      <c r="B553" s="413"/>
      <c r="C553" s="414"/>
      <c r="D553" s="413"/>
      <c r="E553" s="413"/>
      <c r="F553" s="413"/>
      <c r="G553" s="413"/>
      <c r="H553" s="413"/>
      <c r="I553" s="413"/>
      <c r="J553" s="413"/>
      <c r="K553" s="413"/>
      <c r="L553" s="413"/>
      <c r="M553" s="413"/>
      <c r="N553" s="413"/>
      <c r="O553" s="413"/>
      <c r="P553" s="413"/>
      <c r="Q553" s="413"/>
      <c r="R553" s="413"/>
      <c r="S553" s="413"/>
      <c r="T553" s="413"/>
      <c r="U553" s="413"/>
      <c r="V553" s="413"/>
      <c r="W553" s="413"/>
      <c r="X553" s="413"/>
      <c r="Y553" s="413"/>
      <c r="Z553" s="413"/>
    </row>
    <row r="554" ht="12.0" customHeight="1">
      <c r="A554" s="413"/>
      <c r="B554" s="413"/>
      <c r="C554" s="414"/>
      <c r="D554" s="413"/>
      <c r="E554" s="413"/>
      <c r="F554" s="413"/>
      <c r="G554" s="413"/>
      <c r="H554" s="413"/>
      <c r="I554" s="413"/>
      <c r="J554" s="413"/>
      <c r="K554" s="413"/>
      <c r="L554" s="413"/>
      <c r="M554" s="413"/>
      <c r="N554" s="413"/>
      <c r="O554" s="413"/>
      <c r="P554" s="413"/>
      <c r="Q554" s="413"/>
      <c r="R554" s="413"/>
      <c r="S554" s="413"/>
      <c r="T554" s="413"/>
      <c r="U554" s="413"/>
      <c r="V554" s="413"/>
      <c r="W554" s="413"/>
      <c r="X554" s="413"/>
      <c r="Y554" s="413"/>
      <c r="Z554" s="413"/>
    </row>
    <row r="555" ht="12.0" customHeight="1">
      <c r="A555" s="413"/>
      <c r="B555" s="413"/>
      <c r="C555" s="414"/>
      <c r="D555" s="413"/>
      <c r="E555" s="413"/>
      <c r="F555" s="413"/>
      <c r="G555" s="413"/>
      <c r="H555" s="413"/>
      <c r="I555" s="413"/>
      <c r="J555" s="413"/>
      <c r="K555" s="413"/>
      <c r="L555" s="413"/>
      <c r="M555" s="413"/>
      <c r="N555" s="413"/>
      <c r="O555" s="413"/>
      <c r="P555" s="413"/>
      <c r="Q555" s="413"/>
      <c r="R555" s="413"/>
      <c r="S555" s="413"/>
      <c r="T555" s="413"/>
      <c r="U555" s="413"/>
      <c r="V555" s="413"/>
      <c r="W555" s="413"/>
      <c r="X555" s="413"/>
      <c r="Y555" s="413"/>
      <c r="Z555" s="413"/>
    </row>
    <row r="556" ht="12.0" customHeight="1">
      <c r="A556" s="413"/>
      <c r="B556" s="413"/>
      <c r="C556" s="414"/>
      <c r="D556" s="413"/>
      <c r="E556" s="413"/>
      <c r="F556" s="413"/>
      <c r="G556" s="413"/>
      <c r="H556" s="413"/>
      <c r="I556" s="413"/>
      <c r="J556" s="413"/>
      <c r="K556" s="413"/>
      <c r="L556" s="413"/>
      <c r="M556" s="413"/>
      <c r="N556" s="413"/>
      <c r="O556" s="413"/>
      <c r="P556" s="413"/>
      <c r="Q556" s="413"/>
      <c r="R556" s="413"/>
      <c r="S556" s="413"/>
      <c r="T556" s="413"/>
      <c r="U556" s="413"/>
      <c r="V556" s="413"/>
      <c r="W556" s="413"/>
      <c r="X556" s="413"/>
      <c r="Y556" s="413"/>
      <c r="Z556" s="413"/>
    </row>
    <row r="557" ht="12.0" customHeight="1">
      <c r="A557" s="413"/>
      <c r="B557" s="413"/>
      <c r="C557" s="414"/>
      <c r="D557" s="413"/>
      <c r="E557" s="413"/>
      <c r="F557" s="413"/>
      <c r="G557" s="413"/>
      <c r="H557" s="413"/>
      <c r="I557" s="413"/>
      <c r="J557" s="413"/>
      <c r="K557" s="413"/>
      <c r="L557" s="413"/>
      <c r="M557" s="413"/>
      <c r="N557" s="413"/>
      <c r="O557" s="413"/>
      <c r="P557" s="413"/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</row>
    <row r="558" ht="12.0" customHeight="1">
      <c r="A558" s="413"/>
      <c r="B558" s="413"/>
      <c r="C558" s="414"/>
      <c r="D558" s="413"/>
      <c r="E558" s="413"/>
      <c r="F558" s="413"/>
      <c r="G558" s="413"/>
      <c r="H558" s="413"/>
      <c r="I558" s="413"/>
      <c r="J558" s="413"/>
      <c r="K558" s="413"/>
      <c r="L558" s="413"/>
      <c r="M558" s="413"/>
      <c r="N558" s="413"/>
      <c r="O558" s="413"/>
      <c r="P558" s="413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</row>
    <row r="559" ht="12.0" customHeight="1">
      <c r="A559" s="413"/>
      <c r="B559" s="413"/>
      <c r="C559" s="414"/>
      <c r="D559" s="413"/>
      <c r="E559" s="413"/>
      <c r="F559" s="413"/>
      <c r="G559" s="413"/>
      <c r="H559" s="413"/>
      <c r="I559" s="413"/>
      <c r="J559" s="413"/>
      <c r="K559" s="413"/>
      <c r="L559" s="413"/>
      <c r="M559" s="413"/>
      <c r="N559" s="413"/>
      <c r="O559" s="413"/>
      <c r="P559" s="413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</row>
    <row r="560" ht="12.0" customHeight="1">
      <c r="A560" s="413"/>
      <c r="B560" s="413"/>
      <c r="C560" s="414"/>
      <c r="D560" s="413"/>
      <c r="E560" s="413"/>
      <c r="F560" s="413"/>
      <c r="G560" s="413"/>
      <c r="H560" s="413"/>
      <c r="I560" s="413"/>
      <c r="J560" s="413"/>
      <c r="K560" s="413"/>
      <c r="L560" s="413"/>
      <c r="M560" s="413"/>
      <c r="N560" s="413"/>
      <c r="O560" s="413"/>
      <c r="P560" s="413"/>
      <c r="Q560" s="413"/>
      <c r="R560" s="413"/>
      <c r="S560" s="413"/>
      <c r="T560" s="413"/>
      <c r="U560" s="413"/>
      <c r="V560" s="413"/>
      <c r="W560" s="413"/>
      <c r="X560" s="413"/>
      <c r="Y560" s="413"/>
      <c r="Z560" s="413"/>
    </row>
    <row r="561" ht="12.0" customHeight="1">
      <c r="A561" s="413"/>
      <c r="B561" s="413"/>
      <c r="C561" s="414"/>
      <c r="D561" s="413"/>
      <c r="E561" s="413"/>
      <c r="F561" s="413"/>
      <c r="G561" s="413"/>
      <c r="H561" s="413"/>
      <c r="I561" s="413"/>
      <c r="J561" s="413"/>
      <c r="K561" s="413"/>
      <c r="L561" s="413"/>
      <c r="M561" s="413"/>
      <c r="N561" s="413"/>
      <c r="O561" s="413"/>
      <c r="P561" s="413"/>
      <c r="Q561" s="413"/>
      <c r="R561" s="413"/>
      <c r="S561" s="413"/>
      <c r="T561" s="413"/>
      <c r="U561" s="413"/>
      <c r="V561" s="413"/>
      <c r="W561" s="413"/>
      <c r="X561" s="413"/>
      <c r="Y561" s="413"/>
      <c r="Z561" s="413"/>
    </row>
    <row r="562" ht="12.0" customHeight="1">
      <c r="A562" s="413"/>
      <c r="B562" s="413"/>
      <c r="C562" s="414"/>
      <c r="D562" s="413"/>
      <c r="E562" s="413"/>
      <c r="F562" s="413"/>
      <c r="G562" s="413"/>
      <c r="H562" s="413"/>
      <c r="I562" s="413"/>
      <c r="J562" s="413"/>
      <c r="K562" s="413"/>
      <c r="L562" s="413"/>
      <c r="M562" s="413"/>
      <c r="N562" s="413"/>
      <c r="O562" s="413"/>
      <c r="P562" s="413"/>
      <c r="Q562" s="413"/>
      <c r="R562" s="413"/>
      <c r="S562" s="413"/>
      <c r="T562" s="413"/>
      <c r="U562" s="413"/>
      <c r="V562" s="413"/>
      <c r="W562" s="413"/>
      <c r="X562" s="413"/>
      <c r="Y562" s="413"/>
      <c r="Z562" s="413"/>
    </row>
    <row r="563" ht="12.0" customHeight="1">
      <c r="A563" s="413"/>
      <c r="B563" s="413"/>
      <c r="C563" s="414"/>
      <c r="D563" s="413"/>
      <c r="E563" s="413"/>
      <c r="F563" s="413"/>
      <c r="G563" s="413"/>
      <c r="H563" s="413"/>
      <c r="I563" s="413"/>
      <c r="J563" s="413"/>
      <c r="K563" s="413"/>
      <c r="L563" s="413"/>
      <c r="M563" s="413"/>
      <c r="N563" s="413"/>
      <c r="O563" s="413"/>
      <c r="P563" s="413"/>
      <c r="Q563" s="413"/>
      <c r="R563" s="413"/>
      <c r="S563" s="413"/>
      <c r="T563" s="413"/>
      <c r="U563" s="413"/>
      <c r="V563" s="413"/>
      <c r="W563" s="413"/>
      <c r="X563" s="413"/>
      <c r="Y563" s="413"/>
      <c r="Z563" s="413"/>
    </row>
    <row r="564" ht="12.0" customHeight="1">
      <c r="A564" s="413"/>
      <c r="B564" s="413"/>
      <c r="C564" s="414"/>
      <c r="D564" s="413"/>
      <c r="E564" s="413"/>
      <c r="F564" s="413"/>
      <c r="G564" s="413"/>
      <c r="H564" s="413"/>
      <c r="I564" s="413"/>
      <c r="J564" s="413"/>
      <c r="K564" s="413"/>
      <c r="L564" s="413"/>
      <c r="M564" s="413"/>
      <c r="N564" s="413"/>
      <c r="O564" s="413"/>
      <c r="P564" s="413"/>
      <c r="Q564" s="413"/>
      <c r="R564" s="413"/>
      <c r="S564" s="413"/>
      <c r="T564" s="413"/>
      <c r="U564" s="413"/>
      <c r="V564" s="413"/>
      <c r="W564" s="413"/>
      <c r="X564" s="413"/>
      <c r="Y564" s="413"/>
      <c r="Z564" s="413"/>
    </row>
    <row r="565" ht="12.0" customHeight="1">
      <c r="A565" s="413"/>
      <c r="B565" s="413"/>
      <c r="C565" s="414"/>
      <c r="D565" s="413"/>
      <c r="E565" s="413"/>
      <c r="F565" s="413"/>
      <c r="G565" s="413"/>
      <c r="H565" s="413"/>
      <c r="I565" s="413"/>
      <c r="J565" s="413"/>
      <c r="K565" s="413"/>
      <c r="L565" s="413"/>
      <c r="M565" s="413"/>
      <c r="N565" s="413"/>
      <c r="O565" s="413"/>
      <c r="P565" s="413"/>
      <c r="Q565" s="413"/>
      <c r="R565" s="413"/>
      <c r="S565" s="413"/>
      <c r="T565" s="413"/>
      <c r="U565" s="413"/>
      <c r="V565" s="413"/>
      <c r="W565" s="413"/>
      <c r="X565" s="413"/>
      <c r="Y565" s="413"/>
      <c r="Z565" s="413"/>
    </row>
    <row r="566" ht="12.0" customHeight="1">
      <c r="A566" s="413"/>
      <c r="B566" s="413"/>
      <c r="C566" s="414"/>
      <c r="D566" s="413"/>
      <c r="E566" s="413"/>
      <c r="F566" s="413"/>
      <c r="G566" s="413"/>
      <c r="H566" s="413"/>
      <c r="I566" s="413"/>
      <c r="J566" s="413"/>
      <c r="K566" s="413"/>
      <c r="L566" s="413"/>
      <c r="M566" s="413"/>
      <c r="N566" s="413"/>
      <c r="O566" s="413"/>
      <c r="P566" s="413"/>
      <c r="Q566" s="413"/>
      <c r="R566" s="413"/>
      <c r="S566" s="413"/>
      <c r="T566" s="413"/>
      <c r="U566" s="413"/>
      <c r="V566" s="413"/>
      <c r="W566" s="413"/>
      <c r="X566" s="413"/>
      <c r="Y566" s="413"/>
      <c r="Z566" s="413"/>
    </row>
    <row r="567" ht="12.0" customHeight="1">
      <c r="A567" s="413"/>
      <c r="B567" s="413"/>
      <c r="C567" s="414"/>
      <c r="D567" s="413"/>
      <c r="E567" s="413"/>
      <c r="F567" s="413"/>
      <c r="G567" s="413"/>
      <c r="H567" s="413"/>
      <c r="I567" s="413"/>
      <c r="J567" s="413"/>
      <c r="K567" s="413"/>
      <c r="L567" s="413"/>
      <c r="M567" s="413"/>
      <c r="N567" s="413"/>
      <c r="O567" s="413"/>
      <c r="P567" s="413"/>
      <c r="Q567" s="413"/>
      <c r="R567" s="413"/>
      <c r="S567" s="413"/>
      <c r="T567" s="413"/>
      <c r="U567" s="413"/>
      <c r="V567" s="413"/>
      <c r="W567" s="413"/>
      <c r="X567" s="413"/>
      <c r="Y567" s="413"/>
      <c r="Z567" s="413"/>
    </row>
    <row r="568" ht="12.0" customHeight="1">
      <c r="A568" s="413"/>
      <c r="B568" s="413"/>
      <c r="C568" s="414"/>
      <c r="D568" s="413"/>
      <c r="E568" s="413"/>
      <c r="F568" s="413"/>
      <c r="G568" s="413"/>
      <c r="H568" s="413"/>
      <c r="I568" s="413"/>
      <c r="J568" s="413"/>
      <c r="K568" s="413"/>
      <c r="L568" s="413"/>
      <c r="M568" s="413"/>
      <c r="N568" s="413"/>
      <c r="O568" s="413"/>
      <c r="P568" s="413"/>
      <c r="Q568" s="413"/>
      <c r="R568" s="413"/>
      <c r="S568" s="413"/>
      <c r="T568" s="413"/>
      <c r="U568" s="413"/>
      <c r="V568" s="413"/>
      <c r="W568" s="413"/>
      <c r="X568" s="413"/>
      <c r="Y568" s="413"/>
      <c r="Z568" s="413"/>
    </row>
    <row r="569" ht="12.0" customHeight="1">
      <c r="A569" s="413"/>
      <c r="B569" s="413"/>
      <c r="C569" s="414"/>
      <c r="D569" s="413"/>
      <c r="E569" s="413"/>
      <c r="F569" s="413"/>
      <c r="G569" s="413"/>
      <c r="H569" s="413"/>
      <c r="I569" s="413"/>
      <c r="J569" s="413"/>
      <c r="K569" s="413"/>
      <c r="L569" s="413"/>
      <c r="M569" s="413"/>
      <c r="N569" s="413"/>
      <c r="O569" s="413"/>
      <c r="P569" s="413"/>
      <c r="Q569" s="413"/>
      <c r="R569" s="413"/>
      <c r="S569" s="413"/>
      <c r="T569" s="413"/>
      <c r="U569" s="413"/>
      <c r="V569" s="413"/>
      <c r="W569" s="413"/>
      <c r="X569" s="413"/>
      <c r="Y569" s="413"/>
      <c r="Z569" s="413"/>
    </row>
    <row r="570" ht="12.0" customHeight="1">
      <c r="A570" s="413"/>
      <c r="B570" s="413"/>
      <c r="C570" s="414"/>
      <c r="D570" s="413"/>
      <c r="E570" s="413"/>
      <c r="F570" s="413"/>
      <c r="G570" s="413"/>
      <c r="H570" s="413"/>
      <c r="I570" s="413"/>
      <c r="J570" s="413"/>
      <c r="K570" s="413"/>
      <c r="L570" s="413"/>
      <c r="M570" s="413"/>
      <c r="N570" s="413"/>
      <c r="O570" s="413"/>
      <c r="P570" s="413"/>
      <c r="Q570" s="413"/>
      <c r="R570" s="413"/>
      <c r="S570" s="413"/>
      <c r="T570" s="413"/>
      <c r="U570" s="413"/>
      <c r="V570" s="413"/>
      <c r="W570" s="413"/>
      <c r="X570" s="413"/>
      <c r="Y570" s="413"/>
      <c r="Z570" s="413"/>
    </row>
    <row r="571" ht="12.0" customHeight="1">
      <c r="A571" s="413"/>
      <c r="B571" s="413"/>
      <c r="C571" s="414"/>
      <c r="D571" s="413"/>
      <c r="E571" s="413"/>
      <c r="F571" s="413"/>
      <c r="G571" s="413"/>
      <c r="H571" s="413"/>
      <c r="I571" s="413"/>
      <c r="J571" s="413"/>
      <c r="K571" s="413"/>
      <c r="L571" s="413"/>
      <c r="M571" s="413"/>
      <c r="N571" s="413"/>
      <c r="O571" s="413"/>
      <c r="P571" s="413"/>
      <c r="Q571" s="413"/>
      <c r="R571" s="413"/>
      <c r="S571" s="413"/>
      <c r="T571" s="413"/>
      <c r="U571" s="413"/>
      <c r="V571" s="413"/>
      <c r="W571" s="413"/>
      <c r="X571" s="413"/>
      <c r="Y571" s="413"/>
      <c r="Z571" s="413"/>
    </row>
    <row r="572" ht="12.0" customHeight="1">
      <c r="A572" s="413"/>
      <c r="B572" s="413"/>
      <c r="C572" s="414"/>
      <c r="D572" s="413"/>
      <c r="E572" s="413"/>
      <c r="F572" s="413"/>
      <c r="G572" s="413"/>
      <c r="H572" s="413"/>
      <c r="I572" s="413"/>
      <c r="J572" s="413"/>
      <c r="K572" s="413"/>
      <c r="L572" s="413"/>
      <c r="M572" s="413"/>
      <c r="N572" s="413"/>
      <c r="O572" s="413"/>
      <c r="P572" s="413"/>
      <c r="Q572" s="413"/>
      <c r="R572" s="413"/>
      <c r="S572" s="413"/>
      <c r="T572" s="413"/>
      <c r="U572" s="413"/>
      <c r="V572" s="413"/>
      <c r="W572" s="413"/>
      <c r="X572" s="413"/>
      <c r="Y572" s="413"/>
      <c r="Z572" s="413"/>
    </row>
    <row r="573" ht="12.0" customHeight="1">
      <c r="A573" s="413"/>
      <c r="B573" s="413"/>
      <c r="C573" s="414"/>
      <c r="D573" s="413"/>
      <c r="E573" s="413"/>
      <c r="F573" s="413"/>
      <c r="G573" s="413"/>
      <c r="H573" s="413"/>
      <c r="I573" s="413"/>
      <c r="J573" s="413"/>
      <c r="K573" s="413"/>
      <c r="L573" s="413"/>
      <c r="M573" s="413"/>
      <c r="N573" s="413"/>
      <c r="O573" s="413"/>
      <c r="P573" s="413"/>
      <c r="Q573" s="413"/>
      <c r="R573" s="413"/>
      <c r="S573" s="413"/>
      <c r="T573" s="413"/>
      <c r="U573" s="413"/>
      <c r="V573" s="413"/>
      <c r="W573" s="413"/>
      <c r="X573" s="413"/>
      <c r="Y573" s="413"/>
      <c r="Z573" s="413"/>
    </row>
    <row r="574" ht="12.0" customHeight="1">
      <c r="A574" s="413"/>
      <c r="B574" s="413"/>
      <c r="C574" s="414"/>
      <c r="D574" s="413"/>
      <c r="E574" s="413"/>
      <c r="F574" s="413"/>
      <c r="G574" s="413"/>
      <c r="H574" s="413"/>
      <c r="I574" s="413"/>
      <c r="J574" s="413"/>
      <c r="K574" s="413"/>
      <c r="L574" s="413"/>
      <c r="M574" s="413"/>
      <c r="N574" s="413"/>
      <c r="O574" s="413"/>
      <c r="P574" s="413"/>
      <c r="Q574" s="413"/>
      <c r="R574" s="413"/>
      <c r="S574" s="413"/>
      <c r="T574" s="413"/>
      <c r="U574" s="413"/>
      <c r="V574" s="413"/>
      <c r="W574" s="413"/>
      <c r="X574" s="413"/>
      <c r="Y574" s="413"/>
      <c r="Z574" s="413"/>
    </row>
    <row r="575" ht="12.0" customHeight="1">
      <c r="A575" s="413"/>
      <c r="B575" s="413"/>
      <c r="C575" s="414"/>
      <c r="D575" s="413"/>
      <c r="E575" s="413"/>
      <c r="F575" s="413"/>
      <c r="G575" s="413"/>
      <c r="H575" s="413"/>
      <c r="I575" s="413"/>
      <c r="J575" s="413"/>
      <c r="K575" s="413"/>
      <c r="L575" s="413"/>
      <c r="M575" s="413"/>
      <c r="N575" s="413"/>
      <c r="O575" s="413"/>
      <c r="P575" s="413"/>
      <c r="Q575" s="413"/>
      <c r="R575" s="413"/>
      <c r="S575" s="413"/>
      <c r="T575" s="413"/>
      <c r="U575" s="413"/>
      <c r="V575" s="413"/>
      <c r="W575" s="413"/>
      <c r="X575" s="413"/>
      <c r="Y575" s="413"/>
      <c r="Z575" s="413"/>
    </row>
    <row r="576" ht="12.0" customHeight="1">
      <c r="A576" s="413"/>
      <c r="B576" s="413"/>
      <c r="C576" s="414"/>
      <c r="D576" s="413"/>
      <c r="E576" s="413"/>
      <c r="F576" s="413"/>
      <c r="G576" s="413"/>
      <c r="H576" s="413"/>
      <c r="I576" s="413"/>
      <c r="J576" s="413"/>
      <c r="K576" s="413"/>
      <c r="L576" s="413"/>
      <c r="M576" s="413"/>
      <c r="N576" s="413"/>
      <c r="O576" s="413"/>
      <c r="P576" s="413"/>
      <c r="Q576" s="413"/>
      <c r="R576" s="413"/>
      <c r="S576" s="413"/>
      <c r="T576" s="413"/>
      <c r="U576" s="413"/>
      <c r="V576" s="413"/>
      <c r="W576" s="413"/>
      <c r="X576" s="413"/>
      <c r="Y576" s="413"/>
      <c r="Z576" s="413"/>
    </row>
    <row r="577" ht="12.0" customHeight="1">
      <c r="A577" s="413"/>
      <c r="B577" s="413"/>
      <c r="C577" s="414"/>
      <c r="D577" s="413"/>
      <c r="E577" s="413"/>
      <c r="F577" s="413"/>
      <c r="G577" s="413"/>
      <c r="H577" s="413"/>
      <c r="I577" s="413"/>
      <c r="J577" s="413"/>
      <c r="K577" s="413"/>
      <c r="L577" s="413"/>
      <c r="M577" s="413"/>
      <c r="N577" s="413"/>
      <c r="O577" s="413"/>
      <c r="P577" s="413"/>
      <c r="Q577" s="413"/>
      <c r="R577" s="413"/>
      <c r="S577" s="413"/>
      <c r="T577" s="413"/>
      <c r="U577" s="413"/>
      <c r="V577" s="413"/>
      <c r="W577" s="413"/>
      <c r="X577" s="413"/>
      <c r="Y577" s="413"/>
      <c r="Z577" s="413"/>
    </row>
    <row r="578" ht="12.0" customHeight="1">
      <c r="A578" s="413"/>
      <c r="B578" s="413"/>
      <c r="C578" s="414"/>
      <c r="D578" s="413"/>
      <c r="E578" s="413"/>
      <c r="F578" s="413"/>
      <c r="G578" s="413"/>
      <c r="H578" s="413"/>
      <c r="I578" s="413"/>
      <c r="J578" s="413"/>
      <c r="K578" s="413"/>
      <c r="L578" s="413"/>
      <c r="M578" s="413"/>
      <c r="N578" s="413"/>
      <c r="O578" s="413"/>
      <c r="P578" s="413"/>
      <c r="Q578" s="413"/>
      <c r="R578" s="413"/>
      <c r="S578" s="413"/>
      <c r="T578" s="413"/>
      <c r="U578" s="413"/>
      <c r="V578" s="413"/>
      <c r="W578" s="413"/>
      <c r="X578" s="413"/>
      <c r="Y578" s="413"/>
      <c r="Z578" s="413"/>
    </row>
    <row r="579" ht="12.0" customHeight="1">
      <c r="A579" s="413"/>
      <c r="B579" s="413"/>
      <c r="C579" s="414"/>
      <c r="D579" s="413"/>
      <c r="E579" s="413"/>
      <c r="F579" s="413"/>
      <c r="G579" s="413"/>
      <c r="H579" s="413"/>
      <c r="I579" s="413"/>
      <c r="J579" s="413"/>
      <c r="K579" s="413"/>
      <c r="L579" s="413"/>
      <c r="M579" s="413"/>
      <c r="N579" s="413"/>
      <c r="O579" s="413"/>
      <c r="P579" s="413"/>
      <c r="Q579" s="413"/>
      <c r="R579" s="413"/>
      <c r="S579" s="413"/>
      <c r="T579" s="413"/>
      <c r="U579" s="413"/>
      <c r="V579" s="413"/>
      <c r="W579" s="413"/>
      <c r="X579" s="413"/>
      <c r="Y579" s="413"/>
      <c r="Z579" s="413"/>
    </row>
    <row r="580" ht="12.0" customHeight="1">
      <c r="A580" s="413"/>
      <c r="B580" s="413"/>
      <c r="C580" s="414"/>
      <c r="D580" s="413"/>
      <c r="E580" s="413"/>
      <c r="F580" s="413"/>
      <c r="G580" s="413"/>
      <c r="H580" s="413"/>
      <c r="I580" s="413"/>
      <c r="J580" s="413"/>
      <c r="K580" s="413"/>
      <c r="L580" s="413"/>
      <c r="M580" s="413"/>
      <c r="N580" s="413"/>
      <c r="O580" s="413"/>
      <c r="P580" s="413"/>
      <c r="Q580" s="413"/>
      <c r="R580" s="413"/>
      <c r="S580" s="413"/>
      <c r="T580" s="413"/>
      <c r="U580" s="413"/>
      <c r="V580" s="413"/>
      <c r="W580" s="413"/>
      <c r="X580" s="413"/>
      <c r="Y580" s="413"/>
      <c r="Z580" s="413"/>
    </row>
    <row r="581" ht="12.0" customHeight="1">
      <c r="A581" s="413"/>
      <c r="B581" s="413"/>
      <c r="C581" s="414"/>
      <c r="D581" s="413"/>
      <c r="E581" s="413"/>
      <c r="F581" s="413"/>
      <c r="G581" s="413"/>
      <c r="H581" s="413"/>
      <c r="I581" s="413"/>
      <c r="J581" s="413"/>
      <c r="K581" s="413"/>
      <c r="L581" s="413"/>
      <c r="M581" s="413"/>
      <c r="N581" s="413"/>
      <c r="O581" s="413"/>
      <c r="P581" s="413"/>
      <c r="Q581" s="413"/>
      <c r="R581" s="413"/>
      <c r="S581" s="413"/>
      <c r="T581" s="413"/>
      <c r="U581" s="413"/>
      <c r="V581" s="413"/>
      <c r="W581" s="413"/>
      <c r="X581" s="413"/>
      <c r="Y581" s="413"/>
      <c r="Z581" s="413"/>
    </row>
    <row r="582" ht="12.0" customHeight="1">
      <c r="A582" s="413"/>
      <c r="B582" s="413"/>
      <c r="C582" s="414"/>
      <c r="D582" s="413"/>
      <c r="E582" s="413"/>
      <c r="F582" s="413"/>
      <c r="G582" s="413"/>
      <c r="H582" s="413"/>
      <c r="I582" s="413"/>
      <c r="J582" s="413"/>
      <c r="K582" s="413"/>
      <c r="L582" s="413"/>
      <c r="M582" s="413"/>
      <c r="N582" s="413"/>
      <c r="O582" s="413"/>
      <c r="P582" s="413"/>
      <c r="Q582" s="413"/>
      <c r="R582" s="413"/>
      <c r="S582" s="413"/>
      <c r="T582" s="413"/>
      <c r="U582" s="413"/>
      <c r="V582" s="413"/>
      <c r="W582" s="413"/>
      <c r="X582" s="413"/>
      <c r="Y582" s="413"/>
      <c r="Z582" s="413"/>
    </row>
    <row r="583" ht="12.0" customHeight="1">
      <c r="A583" s="413"/>
      <c r="B583" s="413"/>
      <c r="C583" s="414"/>
      <c r="D583" s="413"/>
      <c r="E583" s="413"/>
      <c r="F583" s="413"/>
      <c r="G583" s="413"/>
      <c r="H583" s="413"/>
      <c r="I583" s="413"/>
      <c r="J583" s="413"/>
      <c r="K583" s="413"/>
      <c r="L583" s="413"/>
      <c r="M583" s="413"/>
      <c r="N583" s="413"/>
      <c r="O583" s="413"/>
      <c r="P583" s="413"/>
      <c r="Q583" s="413"/>
      <c r="R583" s="413"/>
      <c r="S583" s="413"/>
      <c r="T583" s="413"/>
      <c r="U583" s="413"/>
      <c r="V583" s="413"/>
      <c r="W583" s="413"/>
      <c r="X583" s="413"/>
      <c r="Y583" s="413"/>
      <c r="Z583" s="413"/>
    </row>
    <row r="584" ht="12.0" customHeight="1">
      <c r="A584" s="413"/>
      <c r="B584" s="413"/>
      <c r="C584" s="414"/>
      <c r="D584" s="413"/>
      <c r="E584" s="413"/>
      <c r="F584" s="413"/>
      <c r="G584" s="413"/>
      <c r="H584" s="413"/>
      <c r="I584" s="413"/>
      <c r="J584" s="413"/>
      <c r="K584" s="413"/>
      <c r="L584" s="413"/>
      <c r="M584" s="413"/>
      <c r="N584" s="413"/>
      <c r="O584" s="413"/>
      <c r="P584" s="413"/>
      <c r="Q584" s="413"/>
      <c r="R584" s="413"/>
      <c r="S584" s="413"/>
      <c r="T584" s="413"/>
      <c r="U584" s="413"/>
      <c r="V584" s="413"/>
      <c r="W584" s="413"/>
      <c r="X584" s="413"/>
      <c r="Y584" s="413"/>
      <c r="Z584" s="413"/>
    </row>
    <row r="585" ht="12.0" customHeight="1">
      <c r="A585" s="413"/>
      <c r="B585" s="413"/>
      <c r="C585" s="414"/>
      <c r="D585" s="413"/>
      <c r="E585" s="413"/>
      <c r="F585" s="413"/>
      <c r="G585" s="413"/>
      <c r="H585" s="413"/>
      <c r="I585" s="413"/>
      <c r="J585" s="413"/>
      <c r="K585" s="413"/>
      <c r="L585" s="413"/>
      <c r="M585" s="413"/>
      <c r="N585" s="413"/>
      <c r="O585" s="413"/>
      <c r="P585" s="413"/>
      <c r="Q585" s="413"/>
      <c r="R585" s="413"/>
      <c r="S585" s="413"/>
      <c r="T585" s="413"/>
      <c r="U585" s="413"/>
      <c r="V585" s="413"/>
      <c r="W585" s="413"/>
      <c r="X585" s="413"/>
      <c r="Y585" s="413"/>
      <c r="Z585" s="413"/>
    </row>
    <row r="586" ht="12.0" customHeight="1">
      <c r="A586" s="413"/>
      <c r="B586" s="413"/>
      <c r="C586" s="414"/>
      <c r="D586" s="413"/>
      <c r="E586" s="413"/>
      <c r="F586" s="413"/>
      <c r="G586" s="413"/>
      <c r="H586" s="413"/>
      <c r="I586" s="413"/>
      <c r="J586" s="413"/>
      <c r="K586" s="413"/>
      <c r="L586" s="413"/>
      <c r="M586" s="413"/>
      <c r="N586" s="413"/>
      <c r="O586" s="413"/>
      <c r="P586" s="413"/>
      <c r="Q586" s="413"/>
      <c r="R586" s="413"/>
      <c r="S586" s="413"/>
      <c r="T586" s="413"/>
      <c r="U586" s="413"/>
      <c r="V586" s="413"/>
      <c r="W586" s="413"/>
      <c r="X586" s="413"/>
      <c r="Y586" s="413"/>
      <c r="Z586" s="413"/>
    </row>
    <row r="587" ht="12.0" customHeight="1">
      <c r="A587" s="413"/>
      <c r="B587" s="413"/>
      <c r="C587" s="414"/>
      <c r="D587" s="413"/>
      <c r="E587" s="413"/>
      <c r="F587" s="413"/>
      <c r="G587" s="413"/>
      <c r="H587" s="413"/>
      <c r="I587" s="413"/>
      <c r="J587" s="413"/>
      <c r="K587" s="413"/>
      <c r="L587" s="413"/>
      <c r="M587" s="413"/>
      <c r="N587" s="413"/>
      <c r="O587" s="413"/>
      <c r="P587" s="413"/>
      <c r="Q587" s="413"/>
      <c r="R587" s="413"/>
      <c r="S587" s="413"/>
      <c r="T587" s="413"/>
      <c r="U587" s="413"/>
      <c r="V587" s="413"/>
      <c r="W587" s="413"/>
      <c r="X587" s="413"/>
      <c r="Y587" s="413"/>
      <c r="Z587" s="413"/>
    </row>
    <row r="588" ht="12.0" customHeight="1">
      <c r="A588" s="413"/>
      <c r="B588" s="413"/>
      <c r="C588" s="414"/>
      <c r="D588" s="413"/>
      <c r="E588" s="413"/>
      <c r="F588" s="413"/>
      <c r="G588" s="413"/>
      <c r="H588" s="413"/>
      <c r="I588" s="413"/>
      <c r="J588" s="413"/>
      <c r="K588" s="413"/>
      <c r="L588" s="413"/>
      <c r="M588" s="413"/>
      <c r="N588" s="413"/>
      <c r="O588" s="413"/>
      <c r="P588" s="413"/>
      <c r="Q588" s="413"/>
      <c r="R588" s="413"/>
      <c r="S588" s="413"/>
      <c r="T588" s="413"/>
      <c r="U588" s="413"/>
      <c r="V588" s="413"/>
      <c r="W588" s="413"/>
      <c r="X588" s="413"/>
      <c r="Y588" s="413"/>
      <c r="Z588" s="413"/>
    </row>
    <row r="589" ht="12.0" customHeight="1">
      <c r="A589" s="413"/>
      <c r="B589" s="413"/>
      <c r="C589" s="414"/>
      <c r="D589" s="413"/>
      <c r="E589" s="413"/>
      <c r="F589" s="413"/>
      <c r="G589" s="413"/>
      <c r="H589" s="413"/>
      <c r="I589" s="413"/>
      <c r="J589" s="413"/>
      <c r="K589" s="413"/>
      <c r="L589" s="413"/>
      <c r="M589" s="413"/>
      <c r="N589" s="413"/>
      <c r="O589" s="413"/>
      <c r="P589" s="413"/>
      <c r="Q589" s="413"/>
      <c r="R589" s="413"/>
      <c r="S589" s="413"/>
      <c r="T589" s="413"/>
      <c r="U589" s="413"/>
      <c r="V589" s="413"/>
      <c r="W589" s="413"/>
      <c r="X589" s="413"/>
      <c r="Y589" s="413"/>
      <c r="Z589" s="413"/>
    </row>
    <row r="590" ht="12.0" customHeight="1">
      <c r="A590" s="413"/>
      <c r="B590" s="413"/>
      <c r="C590" s="414"/>
      <c r="D590" s="413"/>
      <c r="E590" s="413"/>
      <c r="F590" s="413"/>
      <c r="G590" s="413"/>
      <c r="H590" s="413"/>
      <c r="I590" s="413"/>
      <c r="J590" s="413"/>
      <c r="K590" s="413"/>
      <c r="L590" s="413"/>
      <c r="M590" s="413"/>
      <c r="N590" s="413"/>
      <c r="O590" s="413"/>
      <c r="P590" s="413"/>
      <c r="Q590" s="413"/>
      <c r="R590" s="413"/>
      <c r="S590" s="413"/>
      <c r="T590" s="413"/>
      <c r="U590" s="413"/>
      <c r="V590" s="413"/>
      <c r="W590" s="413"/>
      <c r="X590" s="413"/>
      <c r="Y590" s="413"/>
      <c r="Z590" s="413"/>
    </row>
    <row r="591" ht="12.0" customHeight="1">
      <c r="A591" s="413"/>
      <c r="B591" s="413"/>
      <c r="C591" s="414"/>
      <c r="D591" s="413"/>
      <c r="E591" s="413"/>
      <c r="F591" s="413"/>
      <c r="G591" s="413"/>
      <c r="H591" s="413"/>
      <c r="I591" s="413"/>
      <c r="J591" s="413"/>
      <c r="K591" s="413"/>
      <c r="L591" s="413"/>
      <c r="M591" s="413"/>
      <c r="N591" s="413"/>
      <c r="O591" s="413"/>
      <c r="P591" s="413"/>
      <c r="Q591" s="413"/>
      <c r="R591" s="413"/>
      <c r="S591" s="413"/>
      <c r="T591" s="413"/>
      <c r="U591" s="413"/>
      <c r="V591" s="413"/>
      <c r="W591" s="413"/>
      <c r="X591" s="413"/>
      <c r="Y591" s="413"/>
      <c r="Z591" s="413"/>
    </row>
    <row r="592" ht="12.0" customHeight="1">
      <c r="A592" s="413"/>
      <c r="B592" s="413"/>
      <c r="C592" s="414"/>
      <c r="D592" s="413"/>
      <c r="E592" s="413"/>
      <c r="F592" s="413"/>
      <c r="G592" s="413"/>
      <c r="H592" s="413"/>
      <c r="I592" s="413"/>
      <c r="J592" s="413"/>
      <c r="K592" s="413"/>
      <c r="L592" s="413"/>
      <c r="M592" s="413"/>
      <c r="N592" s="413"/>
      <c r="O592" s="413"/>
      <c r="P592" s="413"/>
      <c r="Q592" s="413"/>
      <c r="R592" s="413"/>
      <c r="S592" s="413"/>
      <c r="T592" s="413"/>
      <c r="U592" s="413"/>
      <c r="V592" s="413"/>
      <c r="W592" s="413"/>
      <c r="X592" s="413"/>
      <c r="Y592" s="413"/>
      <c r="Z592" s="413"/>
    </row>
    <row r="593" ht="12.0" customHeight="1">
      <c r="A593" s="413"/>
      <c r="B593" s="413"/>
      <c r="C593" s="414"/>
      <c r="D593" s="413"/>
      <c r="E593" s="413"/>
      <c r="F593" s="413"/>
      <c r="G593" s="413"/>
      <c r="H593" s="413"/>
      <c r="I593" s="413"/>
      <c r="J593" s="413"/>
      <c r="K593" s="413"/>
      <c r="L593" s="413"/>
      <c r="M593" s="413"/>
      <c r="N593" s="413"/>
      <c r="O593" s="413"/>
      <c r="P593" s="413"/>
      <c r="Q593" s="413"/>
      <c r="R593" s="413"/>
      <c r="S593" s="413"/>
      <c r="T593" s="413"/>
      <c r="U593" s="413"/>
      <c r="V593" s="413"/>
      <c r="W593" s="413"/>
      <c r="X593" s="413"/>
      <c r="Y593" s="413"/>
      <c r="Z593" s="413"/>
    </row>
    <row r="594" ht="12.0" customHeight="1">
      <c r="A594" s="413"/>
      <c r="B594" s="413"/>
      <c r="C594" s="414"/>
      <c r="D594" s="413"/>
      <c r="E594" s="413"/>
      <c r="F594" s="413"/>
      <c r="G594" s="413"/>
      <c r="H594" s="413"/>
      <c r="I594" s="413"/>
      <c r="J594" s="413"/>
      <c r="K594" s="413"/>
      <c r="L594" s="413"/>
      <c r="M594" s="413"/>
      <c r="N594" s="413"/>
      <c r="O594" s="413"/>
      <c r="P594" s="413"/>
      <c r="Q594" s="413"/>
      <c r="R594" s="413"/>
      <c r="S594" s="413"/>
      <c r="T594" s="413"/>
      <c r="U594" s="413"/>
      <c r="V594" s="413"/>
      <c r="W594" s="413"/>
      <c r="X594" s="413"/>
      <c r="Y594" s="413"/>
      <c r="Z594" s="413"/>
    </row>
    <row r="595" ht="12.0" customHeight="1">
      <c r="A595" s="413"/>
      <c r="B595" s="413"/>
      <c r="C595" s="414"/>
      <c r="D595" s="413"/>
      <c r="E595" s="413"/>
      <c r="F595" s="413"/>
      <c r="G595" s="413"/>
      <c r="H595" s="413"/>
      <c r="I595" s="413"/>
      <c r="J595" s="413"/>
      <c r="K595" s="413"/>
      <c r="L595" s="413"/>
      <c r="M595" s="413"/>
      <c r="N595" s="413"/>
      <c r="O595" s="413"/>
      <c r="P595" s="413"/>
      <c r="Q595" s="413"/>
      <c r="R595" s="413"/>
      <c r="S595" s="413"/>
      <c r="T595" s="413"/>
      <c r="U595" s="413"/>
      <c r="V595" s="413"/>
      <c r="W595" s="413"/>
      <c r="X595" s="413"/>
      <c r="Y595" s="413"/>
      <c r="Z595" s="413"/>
    </row>
    <row r="596" ht="12.0" customHeight="1">
      <c r="A596" s="413"/>
      <c r="B596" s="413"/>
      <c r="C596" s="414"/>
      <c r="D596" s="413"/>
      <c r="E596" s="413"/>
      <c r="F596" s="413"/>
      <c r="G596" s="413"/>
      <c r="H596" s="413"/>
      <c r="I596" s="413"/>
      <c r="J596" s="413"/>
      <c r="K596" s="413"/>
      <c r="L596" s="413"/>
      <c r="M596" s="413"/>
      <c r="N596" s="413"/>
      <c r="O596" s="413"/>
      <c r="P596" s="413"/>
      <c r="Q596" s="413"/>
      <c r="R596" s="413"/>
      <c r="S596" s="413"/>
      <c r="T596" s="413"/>
      <c r="U596" s="413"/>
      <c r="V596" s="413"/>
      <c r="W596" s="413"/>
      <c r="X596" s="413"/>
      <c r="Y596" s="413"/>
      <c r="Z596" s="413"/>
    </row>
    <row r="597" ht="12.0" customHeight="1">
      <c r="A597" s="413"/>
      <c r="B597" s="413"/>
      <c r="C597" s="414"/>
      <c r="D597" s="413"/>
      <c r="E597" s="413"/>
      <c r="F597" s="413"/>
      <c r="G597" s="413"/>
      <c r="H597" s="413"/>
      <c r="I597" s="413"/>
      <c r="J597" s="413"/>
      <c r="K597" s="413"/>
      <c r="L597" s="413"/>
      <c r="M597" s="413"/>
      <c r="N597" s="413"/>
      <c r="O597" s="413"/>
      <c r="P597" s="413"/>
      <c r="Q597" s="413"/>
      <c r="R597" s="413"/>
      <c r="S597" s="413"/>
      <c r="T597" s="413"/>
      <c r="U597" s="413"/>
      <c r="V597" s="413"/>
      <c r="W597" s="413"/>
      <c r="X597" s="413"/>
      <c r="Y597" s="413"/>
      <c r="Z597" s="413"/>
    </row>
    <row r="598" ht="12.0" customHeight="1">
      <c r="A598" s="413"/>
      <c r="B598" s="413"/>
      <c r="C598" s="414"/>
      <c r="D598" s="413"/>
      <c r="E598" s="413"/>
      <c r="F598" s="413"/>
      <c r="G598" s="413"/>
      <c r="H598" s="413"/>
      <c r="I598" s="413"/>
      <c r="J598" s="413"/>
      <c r="K598" s="413"/>
      <c r="L598" s="413"/>
      <c r="M598" s="413"/>
      <c r="N598" s="413"/>
      <c r="O598" s="413"/>
      <c r="P598" s="413"/>
      <c r="Q598" s="413"/>
      <c r="R598" s="413"/>
      <c r="S598" s="413"/>
      <c r="T598" s="413"/>
      <c r="U598" s="413"/>
      <c r="V598" s="413"/>
      <c r="W598" s="413"/>
      <c r="X598" s="413"/>
      <c r="Y598" s="413"/>
      <c r="Z598" s="413"/>
    </row>
    <row r="599" ht="12.0" customHeight="1">
      <c r="A599" s="413"/>
      <c r="B599" s="413"/>
      <c r="C599" s="414"/>
      <c r="D599" s="413"/>
      <c r="E599" s="413"/>
      <c r="F599" s="413"/>
      <c r="G599" s="413"/>
      <c r="H599" s="413"/>
      <c r="I599" s="413"/>
      <c r="J599" s="413"/>
      <c r="K599" s="413"/>
      <c r="L599" s="413"/>
      <c r="M599" s="413"/>
      <c r="N599" s="413"/>
      <c r="O599" s="413"/>
      <c r="P599" s="413"/>
      <c r="Q599" s="413"/>
      <c r="R599" s="413"/>
      <c r="S599" s="413"/>
      <c r="T599" s="413"/>
      <c r="U599" s="413"/>
      <c r="V599" s="413"/>
      <c r="W599" s="413"/>
      <c r="X599" s="413"/>
      <c r="Y599" s="413"/>
      <c r="Z599" s="413"/>
    </row>
    <row r="600" ht="12.0" customHeight="1">
      <c r="A600" s="413"/>
      <c r="B600" s="413"/>
      <c r="C600" s="414"/>
      <c r="D600" s="413"/>
      <c r="E600" s="413"/>
      <c r="F600" s="413"/>
      <c r="G600" s="413"/>
      <c r="H600" s="413"/>
      <c r="I600" s="413"/>
      <c r="J600" s="413"/>
      <c r="K600" s="413"/>
      <c r="L600" s="413"/>
      <c r="M600" s="413"/>
      <c r="N600" s="413"/>
      <c r="O600" s="413"/>
      <c r="P600" s="413"/>
      <c r="Q600" s="413"/>
      <c r="R600" s="413"/>
      <c r="S600" s="413"/>
      <c r="T600" s="413"/>
      <c r="U600" s="413"/>
      <c r="V600" s="413"/>
      <c r="W600" s="413"/>
      <c r="X600" s="413"/>
      <c r="Y600" s="413"/>
      <c r="Z600" s="413"/>
    </row>
    <row r="601" ht="12.0" customHeight="1">
      <c r="A601" s="413"/>
      <c r="B601" s="413"/>
      <c r="C601" s="414"/>
      <c r="D601" s="413"/>
      <c r="E601" s="413"/>
      <c r="F601" s="413"/>
      <c r="G601" s="413"/>
      <c r="H601" s="413"/>
      <c r="I601" s="413"/>
      <c r="J601" s="413"/>
      <c r="K601" s="413"/>
      <c r="L601" s="413"/>
      <c r="M601" s="413"/>
      <c r="N601" s="413"/>
      <c r="O601" s="413"/>
      <c r="P601" s="413"/>
      <c r="Q601" s="413"/>
      <c r="R601" s="413"/>
      <c r="S601" s="413"/>
      <c r="T601" s="413"/>
      <c r="U601" s="413"/>
      <c r="V601" s="413"/>
      <c r="W601" s="413"/>
      <c r="X601" s="413"/>
      <c r="Y601" s="413"/>
      <c r="Z601" s="413"/>
    </row>
    <row r="602" ht="12.0" customHeight="1">
      <c r="A602" s="413"/>
      <c r="B602" s="413"/>
      <c r="C602" s="414"/>
      <c r="D602" s="413"/>
      <c r="E602" s="413"/>
      <c r="F602" s="413"/>
      <c r="G602" s="413"/>
      <c r="H602" s="413"/>
      <c r="I602" s="413"/>
      <c r="J602" s="413"/>
      <c r="K602" s="413"/>
      <c r="L602" s="413"/>
      <c r="M602" s="413"/>
      <c r="N602" s="413"/>
      <c r="O602" s="413"/>
      <c r="P602" s="413"/>
      <c r="Q602" s="413"/>
      <c r="R602" s="413"/>
      <c r="S602" s="413"/>
      <c r="T602" s="413"/>
      <c r="U602" s="413"/>
      <c r="V602" s="413"/>
      <c r="W602" s="413"/>
      <c r="X602" s="413"/>
      <c r="Y602" s="413"/>
      <c r="Z602" s="413"/>
    </row>
    <row r="603" ht="12.0" customHeight="1">
      <c r="A603" s="413"/>
      <c r="B603" s="413"/>
      <c r="C603" s="414"/>
      <c r="D603" s="413"/>
      <c r="E603" s="413"/>
      <c r="F603" s="413"/>
      <c r="G603" s="413"/>
      <c r="H603" s="413"/>
      <c r="I603" s="413"/>
      <c r="J603" s="413"/>
      <c r="K603" s="413"/>
      <c r="L603" s="413"/>
      <c r="M603" s="413"/>
      <c r="N603" s="413"/>
      <c r="O603" s="413"/>
      <c r="P603" s="413"/>
      <c r="Q603" s="413"/>
      <c r="R603" s="413"/>
      <c r="S603" s="413"/>
      <c r="T603" s="413"/>
      <c r="U603" s="413"/>
      <c r="V603" s="413"/>
      <c r="W603" s="413"/>
      <c r="X603" s="413"/>
      <c r="Y603" s="413"/>
      <c r="Z603" s="413"/>
    </row>
    <row r="604" ht="12.0" customHeight="1">
      <c r="A604" s="413"/>
      <c r="B604" s="413"/>
      <c r="C604" s="414"/>
      <c r="D604" s="413"/>
      <c r="E604" s="413"/>
      <c r="F604" s="413"/>
      <c r="G604" s="413"/>
      <c r="H604" s="413"/>
      <c r="I604" s="413"/>
      <c r="J604" s="413"/>
      <c r="K604" s="413"/>
      <c r="L604" s="413"/>
      <c r="M604" s="413"/>
      <c r="N604" s="413"/>
      <c r="O604" s="413"/>
      <c r="P604" s="413"/>
      <c r="Q604" s="413"/>
      <c r="R604" s="413"/>
      <c r="S604" s="413"/>
      <c r="T604" s="413"/>
      <c r="U604" s="413"/>
      <c r="V604" s="413"/>
      <c r="W604" s="413"/>
      <c r="X604" s="413"/>
      <c r="Y604" s="413"/>
      <c r="Z604" s="413"/>
    </row>
    <row r="605" ht="12.0" customHeight="1">
      <c r="A605" s="413"/>
      <c r="B605" s="413"/>
      <c r="C605" s="414"/>
      <c r="D605" s="413"/>
      <c r="E605" s="413"/>
      <c r="F605" s="413"/>
      <c r="G605" s="413"/>
      <c r="H605" s="413"/>
      <c r="I605" s="413"/>
      <c r="J605" s="413"/>
      <c r="K605" s="413"/>
      <c r="L605" s="413"/>
      <c r="M605" s="413"/>
      <c r="N605" s="413"/>
      <c r="O605" s="413"/>
      <c r="P605" s="413"/>
      <c r="Q605" s="413"/>
      <c r="R605" s="413"/>
      <c r="S605" s="413"/>
      <c r="T605" s="413"/>
      <c r="U605" s="413"/>
      <c r="V605" s="413"/>
      <c r="W605" s="413"/>
      <c r="X605" s="413"/>
      <c r="Y605" s="413"/>
      <c r="Z605" s="413"/>
    </row>
    <row r="606" ht="12.0" customHeight="1">
      <c r="A606" s="413"/>
      <c r="B606" s="413"/>
      <c r="C606" s="414"/>
      <c r="D606" s="413"/>
      <c r="E606" s="413"/>
      <c r="F606" s="413"/>
      <c r="G606" s="413"/>
      <c r="H606" s="413"/>
      <c r="I606" s="413"/>
      <c r="J606" s="413"/>
      <c r="K606" s="413"/>
      <c r="L606" s="413"/>
      <c r="M606" s="413"/>
      <c r="N606" s="413"/>
      <c r="O606" s="413"/>
      <c r="P606" s="413"/>
      <c r="Q606" s="413"/>
      <c r="R606" s="413"/>
      <c r="S606" s="413"/>
      <c r="T606" s="413"/>
      <c r="U606" s="413"/>
      <c r="V606" s="413"/>
      <c r="W606" s="413"/>
      <c r="X606" s="413"/>
      <c r="Y606" s="413"/>
      <c r="Z606" s="413"/>
    </row>
    <row r="607" ht="12.0" customHeight="1">
      <c r="A607" s="413"/>
      <c r="B607" s="413"/>
      <c r="C607" s="414"/>
      <c r="D607" s="413"/>
      <c r="E607" s="413"/>
      <c r="F607" s="413"/>
      <c r="G607" s="413"/>
      <c r="H607" s="413"/>
      <c r="I607" s="413"/>
      <c r="J607" s="413"/>
      <c r="K607" s="413"/>
      <c r="L607" s="413"/>
      <c r="M607" s="413"/>
      <c r="N607" s="413"/>
      <c r="O607" s="413"/>
      <c r="P607" s="413"/>
      <c r="Q607" s="413"/>
      <c r="R607" s="413"/>
      <c r="S607" s="413"/>
      <c r="T607" s="413"/>
      <c r="U607" s="413"/>
      <c r="V607" s="413"/>
      <c r="W607" s="413"/>
      <c r="X607" s="413"/>
      <c r="Y607" s="413"/>
      <c r="Z607" s="413"/>
    </row>
    <row r="608" ht="12.0" customHeight="1">
      <c r="A608" s="413"/>
      <c r="B608" s="413"/>
      <c r="C608" s="414"/>
      <c r="D608" s="413"/>
      <c r="E608" s="413"/>
      <c r="F608" s="413"/>
      <c r="G608" s="413"/>
      <c r="H608" s="413"/>
      <c r="I608" s="413"/>
      <c r="J608" s="413"/>
      <c r="K608" s="413"/>
      <c r="L608" s="413"/>
      <c r="M608" s="413"/>
      <c r="N608" s="413"/>
      <c r="O608" s="413"/>
      <c r="P608" s="413"/>
      <c r="Q608" s="413"/>
      <c r="R608" s="413"/>
      <c r="S608" s="413"/>
      <c r="T608" s="413"/>
      <c r="U608" s="413"/>
      <c r="V608" s="413"/>
      <c r="W608" s="413"/>
      <c r="X608" s="413"/>
      <c r="Y608" s="413"/>
      <c r="Z608" s="413"/>
    </row>
    <row r="609" ht="12.0" customHeight="1">
      <c r="A609" s="413"/>
      <c r="B609" s="413"/>
      <c r="C609" s="414"/>
      <c r="D609" s="413"/>
      <c r="E609" s="413"/>
      <c r="F609" s="413"/>
      <c r="G609" s="413"/>
      <c r="H609" s="413"/>
      <c r="I609" s="413"/>
      <c r="J609" s="413"/>
      <c r="K609" s="413"/>
      <c r="L609" s="413"/>
      <c r="M609" s="413"/>
      <c r="N609" s="413"/>
      <c r="O609" s="413"/>
      <c r="P609" s="413"/>
      <c r="Q609" s="413"/>
      <c r="R609" s="413"/>
      <c r="S609" s="413"/>
      <c r="T609" s="413"/>
      <c r="U609" s="413"/>
      <c r="V609" s="413"/>
      <c r="W609" s="413"/>
      <c r="X609" s="413"/>
      <c r="Y609" s="413"/>
      <c r="Z609" s="413"/>
    </row>
    <row r="610" ht="12.0" customHeight="1">
      <c r="A610" s="413"/>
      <c r="B610" s="413"/>
      <c r="C610" s="414"/>
      <c r="D610" s="413"/>
      <c r="E610" s="413"/>
      <c r="F610" s="413"/>
      <c r="G610" s="413"/>
      <c r="H610" s="413"/>
      <c r="I610" s="413"/>
      <c r="J610" s="413"/>
      <c r="K610" s="413"/>
      <c r="L610" s="413"/>
      <c r="M610" s="413"/>
      <c r="N610" s="413"/>
      <c r="O610" s="413"/>
      <c r="P610" s="413"/>
      <c r="Q610" s="413"/>
      <c r="R610" s="413"/>
      <c r="S610" s="413"/>
      <c r="T610" s="413"/>
      <c r="U610" s="413"/>
      <c r="V610" s="413"/>
      <c r="W610" s="413"/>
      <c r="X610" s="413"/>
      <c r="Y610" s="413"/>
      <c r="Z610" s="413"/>
    </row>
    <row r="611" ht="12.0" customHeight="1">
      <c r="A611" s="413"/>
      <c r="B611" s="413"/>
      <c r="C611" s="414"/>
      <c r="D611" s="413"/>
      <c r="E611" s="413"/>
      <c r="F611" s="413"/>
      <c r="G611" s="413"/>
      <c r="H611" s="413"/>
      <c r="I611" s="413"/>
      <c r="J611" s="413"/>
      <c r="K611" s="413"/>
      <c r="L611" s="413"/>
      <c r="M611" s="413"/>
      <c r="N611" s="413"/>
      <c r="O611" s="413"/>
      <c r="P611" s="413"/>
      <c r="Q611" s="413"/>
      <c r="R611" s="413"/>
      <c r="S611" s="413"/>
      <c r="T611" s="413"/>
      <c r="U611" s="413"/>
      <c r="V611" s="413"/>
      <c r="W611" s="413"/>
      <c r="X611" s="413"/>
      <c r="Y611" s="413"/>
      <c r="Z611" s="413"/>
    </row>
    <row r="612" ht="12.0" customHeight="1">
      <c r="A612" s="413"/>
      <c r="B612" s="413"/>
      <c r="C612" s="414"/>
      <c r="D612" s="413"/>
      <c r="E612" s="413"/>
      <c r="F612" s="413"/>
      <c r="G612" s="413"/>
      <c r="H612" s="413"/>
      <c r="I612" s="413"/>
      <c r="J612" s="413"/>
      <c r="K612" s="413"/>
      <c r="L612" s="413"/>
      <c r="M612" s="413"/>
      <c r="N612" s="413"/>
      <c r="O612" s="413"/>
      <c r="P612" s="413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</row>
    <row r="613" ht="12.0" customHeight="1">
      <c r="A613" s="413"/>
      <c r="B613" s="413"/>
      <c r="C613" s="414"/>
      <c r="D613" s="413"/>
      <c r="E613" s="413"/>
      <c r="F613" s="413"/>
      <c r="G613" s="413"/>
      <c r="H613" s="413"/>
      <c r="I613" s="413"/>
      <c r="J613" s="413"/>
      <c r="K613" s="413"/>
      <c r="L613" s="413"/>
      <c r="M613" s="413"/>
      <c r="N613" s="413"/>
      <c r="O613" s="413"/>
      <c r="P613" s="413"/>
      <c r="Q613" s="413"/>
      <c r="R613" s="413"/>
      <c r="S613" s="413"/>
      <c r="T613" s="413"/>
      <c r="U613" s="413"/>
      <c r="V613" s="413"/>
      <c r="W613" s="413"/>
      <c r="X613" s="413"/>
      <c r="Y613" s="413"/>
      <c r="Z613" s="413"/>
    </row>
    <row r="614" ht="12.0" customHeight="1">
      <c r="A614" s="413"/>
      <c r="B614" s="413"/>
      <c r="C614" s="414"/>
      <c r="D614" s="413"/>
      <c r="E614" s="413"/>
      <c r="F614" s="413"/>
      <c r="G614" s="413"/>
      <c r="H614" s="413"/>
      <c r="I614" s="413"/>
      <c r="J614" s="413"/>
      <c r="K614" s="413"/>
      <c r="L614" s="413"/>
      <c r="M614" s="413"/>
      <c r="N614" s="413"/>
      <c r="O614" s="413"/>
      <c r="P614" s="413"/>
      <c r="Q614" s="413"/>
      <c r="R614" s="413"/>
      <c r="S614" s="413"/>
      <c r="T614" s="413"/>
      <c r="U614" s="413"/>
      <c r="V614" s="413"/>
      <c r="W614" s="413"/>
      <c r="X614" s="413"/>
      <c r="Y614" s="413"/>
      <c r="Z614" s="413"/>
    </row>
    <row r="615" ht="12.0" customHeight="1">
      <c r="A615" s="413"/>
      <c r="B615" s="413"/>
      <c r="C615" s="414"/>
      <c r="D615" s="413"/>
      <c r="E615" s="413"/>
      <c r="F615" s="413"/>
      <c r="G615" s="413"/>
      <c r="H615" s="413"/>
      <c r="I615" s="413"/>
      <c r="J615" s="413"/>
      <c r="K615" s="413"/>
      <c r="L615" s="413"/>
      <c r="M615" s="413"/>
      <c r="N615" s="413"/>
      <c r="O615" s="413"/>
      <c r="P615" s="413"/>
      <c r="Q615" s="413"/>
      <c r="R615" s="413"/>
      <c r="S615" s="413"/>
      <c r="T615" s="413"/>
      <c r="U615" s="413"/>
      <c r="V615" s="413"/>
      <c r="W615" s="413"/>
      <c r="X615" s="413"/>
      <c r="Y615" s="413"/>
      <c r="Z615" s="413"/>
    </row>
    <row r="616" ht="12.0" customHeight="1">
      <c r="A616" s="413"/>
      <c r="B616" s="413"/>
      <c r="C616" s="414"/>
      <c r="D616" s="413"/>
      <c r="E616" s="413"/>
      <c r="F616" s="413"/>
      <c r="G616" s="413"/>
      <c r="H616" s="413"/>
      <c r="I616" s="413"/>
      <c r="J616" s="413"/>
      <c r="K616" s="413"/>
      <c r="L616" s="413"/>
      <c r="M616" s="413"/>
      <c r="N616" s="413"/>
      <c r="O616" s="413"/>
      <c r="P616" s="413"/>
      <c r="Q616" s="413"/>
      <c r="R616" s="413"/>
      <c r="S616" s="413"/>
      <c r="T616" s="413"/>
      <c r="U616" s="413"/>
      <c r="V616" s="413"/>
      <c r="W616" s="413"/>
      <c r="X616" s="413"/>
      <c r="Y616" s="413"/>
      <c r="Z616" s="413"/>
    </row>
    <row r="617" ht="12.0" customHeight="1">
      <c r="A617" s="413"/>
      <c r="B617" s="413"/>
      <c r="C617" s="414"/>
      <c r="D617" s="413"/>
      <c r="E617" s="413"/>
      <c r="F617" s="413"/>
      <c r="G617" s="413"/>
      <c r="H617" s="413"/>
      <c r="I617" s="413"/>
      <c r="J617" s="413"/>
      <c r="K617" s="413"/>
      <c r="L617" s="413"/>
      <c r="M617" s="413"/>
      <c r="N617" s="413"/>
      <c r="O617" s="413"/>
      <c r="P617" s="413"/>
      <c r="Q617" s="413"/>
      <c r="R617" s="413"/>
      <c r="S617" s="413"/>
      <c r="T617" s="413"/>
      <c r="U617" s="413"/>
      <c r="V617" s="413"/>
      <c r="W617" s="413"/>
      <c r="X617" s="413"/>
      <c r="Y617" s="413"/>
      <c r="Z617" s="413"/>
    </row>
    <row r="618" ht="12.0" customHeight="1">
      <c r="A618" s="413"/>
      <c r="B618" s="413"/>
      <c r="C618" s="414"/>
      <c r="D618" s="413"/>
      <c r="E618" s="413"/>
      <c r="F618" s="413"/>
      <c r="G618" s="413"/>
      <c r="H618" s="413"/>
      <c r="I618" s="413"/>
      <c r="J618" s="413"/>
      <c r="K618" s="413"/>
      <c r="L618" s="413"/>
      <c r="M618" s="413"/>
      <c r="N618" s="413"/>
      <c r="O618" s="413"/>
      <c r="P618" s="413"/>
      <c r="Q618" s="413"/>
      <c r="R618" s="413"/>
      <c r="S618" s="413"/>
      <c r="T618" s="413"/>
      <c r="U618" s="413"/>
      <c r="V618" s="413"/>
      <c r="W618" s="413"/>
      <c r="X618" s="413"/>
      <c r="Y618" s="413"/>
      <c r="Z618" s="413"/>
    </row>
    <row r="619" ht="12.0" customHeight="1">
      <c r="A619" s="413"/>
      <c r="B619" s="413"/>
      <c r="C619" s="414"/>
      <c r="D619" s="413"/>
      <c r="E619" s="413"/>
      <c r="F619" s="413"/>
      <c r="G619" s="413"/>
      <c r="H619" s="413"/>
      <c r="I619" s="413"/>
      <c r="J619" s="413"/>
      <c r="K619" s="413"/>
      <c r="L619" s="413"/>
      <c r="M619" s="413"/>
      <c r="N619" s="413"/>
      <c r="O619" s="413"/>
      <c r="P619" s="413"/>
      <c r="Q619" s="413"/>
      <c r="R619" s="413"/>
      <c r="S619" s="413"/>
      <c r="T619" s="413"/>
      <c r="U619" s="413"/>
      <c r="V619" s="413"/>
      <c r="W619" s="413"/>
      <c r="X619" s="413"/>
      <c r="Y619" s="413"/>
      <c r="Z619" s="413"/>
    </row>
    <row r="620" ht="12.0" customHeight="1">
      <c r="A620" s="413"/>
      <c r="B620" s="413"/>
      <c r="C620" s="414"/>
      <c r="D620" s="413"/>
      <c r="E620" s="413"/>
      <c r="F620" s="413"/>
      <c r="G620" s="413"/>
      <c r="H620" s="413"/>
      <c r="I620" s="413"/>
      <c r="J620" s="413"/>
      <c r="K620" s="413"/>
      <c r="L620" s="413"/>
      <c r="M620" s="413"/>
      <c r="N620" s="413"/>
      <c r="O620" s="413"/>
      <c r="P620" s="413"/>
      <c r="Q620" s="413"/>
      <c r="R620" s="413"/>
      <c r="S620" s="413"/>
      <c r="T620" s="413"/>
      <c r="U620" s="413"/>
      <c r="V620" s="413"/>
      <c r="W620" s="413"/>
      <c r="X620" s="413"/>
      <c r="Y620" s="413"/>
      <c r="Z620" s="413"/>
    </row>
    <row r="621" ht="12.0" customHeight="1">
      <c r="A621" s="413"/>
      <c r="B621" s="413"/>
      <c r="C621" s="414"/>
      <c r="D621" s="413"/>
      <c r="E621" s="413"/>
      <c r="F621" s="413"/>
      <c r="G621" s="413"/>
      <c r="H621" s="413"/>
      <c r="I621" s="413"/>
      <c r="J621" s="413"/>
      <c r="K621" s="413"/>
      <c r="L621" s="413"/>
      <c r="M621" s="413"/>
      <c r="N621" s="413"/>
      <c r="O621" s="413"/>
      <c r="P621" s="413"/>
      <c r="Q621" s="413"/>
      <c r="R621" s="413"/>
      <c r="S621" s="413"/>
      <c r="T621" s="413"/>
      <c r="U621" s="413"/>
      <c r="V621" s="413"/>
      <c r="W621" s="413"/>
      <c r="X621" s="413"/>
      <c r="Y621" s="413"/>
      <c r="Z621" s="413"/>
    </row>
    <row r="622" ht="12.0" customHeight="1">
      <c r="A622" s="413"/>
      <c r="B622" s="413"/>
      <c r="C622" s="414"/>
      <c r="D622" s="413"/>
      <c r="E622" s="413"/>
      <c r="F622" s="413"/>
      <c r="G622" s="413"/>
      <c r="H622" s="413"/>
      <c r="I622" s="413"/>
      <c r="J622" s="413"/>
      <c r="K622" s="413"/>
      <c r="L622" s="413"/>
      <c r="M622" s="413"/>
      <c r="N622" s="413"/>
      <c r="O622" s="413"/>
      <c r="P622" s="413"/>
      <c r="Q622" s="413"/>
      <c r="R622" s="413"/>
      <c r="S622" s="413"/>
      <c r="T622" s="413"/>
      <c r="U622" s="413"/>
      <c r="V622" s="413"/>
      <c r="W622" s="413"/>
      <c r="X622" s="413"/>
      <c r="Y622" s="413"/>
      <c r="Z622" s="413"/>
    </row>
    <row r="623" ht="12.0" customHeight="1">
      <c r="A623" s="413"/>
      <c r="B623" s="413"/>
      <c r="C623" s="414"/>
      <c r="D623" s="413"/>
      <c r="E623" s="413"/>
      <c r="F623" s="413"/>
      <c r="G623" s="413"/>
      <c r="H623" s="413"/>
      <c r="I623" s="413"/>
      <c r="J623" s="413"/>
      <c r="K623" s="413"/>
      <c r="L623" s="413"/>
      <c r="M623" s="413"/>
      <c r="N623" s="413"/>
      <c r="O623" s="413"/>
      <c r="P623" s="413"/>
      <c r="Q623" s="413"/>
      <c r="R623" s="413"/>
      <c r="S623" s="413"/>
      <c r="T623" s="413"/>
      <c r="U623" s="413"/>
      <c r="V623" s="413"/>
      <c r="W623" s="413"/>
      <c r="X623" s="413"/>
      <c r="Y623" s="413"/>
      <c r="Z623" s="413"/>
    </row>
    <row r="624" ht="12.0" customHeight="1">
      <c r="A624" s="413"/>
      <c r="B624" s="413"/>
      <c r="C624" s="414"/>
      <c r="D624" s="413"/>
      <c r="E624" s="413"/>
      <c r="F624" s="413"/>
      <c r="G624" s="413"/>
      <c r="H624" s="413"/>
      <c r="I624" s="413"/>
      <c r="J624" s="413"/>
      <c r="K624" s="413"/>
      <c r="L624" s="413"/>
      <c r="M624" s="413"/>
      <c r="N624" s="413"/>
      <c r="O624" s="413"/>
      <c r="P624" s="413"/>
      <c r="Q624" s="413"/>
      <c r="R624" s="413"/>
      <c r="S624" s="413"/>
      <c r="T624" s="413"/>
      <c r="U624" s="413"/>
      <c r="V624" s="413"/>
      <c r="W624" s="413"/>
      <c r="X624" s="413"/>
      <c r="Y624" s="413"/>
      <c r="Z624" s="413"/>
    </row>
    <row r="625" ht="12.0" customHeight="1">
      <c r="A625" s="413"/>
      <c r="B625" s="413"/>
      <c r="C625" s="414"/>
      <c r="D625" s="413"/>
      <c r="E625" s="413"/>
      <c r="F625" s="413"/>
      <c r="G625" s="413"/>
      <c r="H625" s="413"/>
      <c r="I625" s="413"/>
      <c r="J625" s="413"/>
      <c r="K625" s="413"/>
      <c r="L625" s="413"/>
      <c r="M625" s="413"/>
      <c r="N625" s="413"/>
      <c r="O625" s="413"/>
      <c r="P625" s="413"/>
      <c r="Q625" s="413"/>
      <c r="R625" s="413"/>
      <c r="S625" s="413"/>
      <c r="T625" s="413"/>
      <c r="U625" s="413"/>
      <c r="V625" s="413"/>
      <c r="W625" s="413"/>
      <c r="X625" s="413"/>
      <c r="Y625" s="413"/>
      <c r="Z625" s="413"/>
    </row>
    <row r="626" ht="12.0" customHeight="1">
      <c r="A626" s="413"/>
      <c r="B626" s="413"/>
      <c r="C626" s="414"/>
      <c r="D626" s="413"/>
      <c r="E626" s="413"/>
      <c r="F626" s="413"/>
      <c r="G626" s="413"/>
      <c r="H626" s="413"/>
      <c r="I626" s="413"/>
      <c r="J626" s="413"/>
      <c r="K626" s="413"/>
      <c r="L626" s="413"/>
      <c r="M626" s="413"/>
      <c r="N626" s="413"/>
      <c r="O626" s="413"/>
      <c r="P626" s="413"/>
      <c r="Q626" s="413"/>
      <c r="R626" s="413"/>
      <c r="S626" s="413"/>
      <c r="T626" s="413"/>
      <c r="U626" s="413"/>
      <c r="V626" s="413"/>
      <c r="W626" s="413"/>
      <c r="X626" s="413"/>
      <c r="Y626" s="413"/>
      <c r="Z626" s="413"/>
    </row>
    <row r="627" ht="12.0" customHeight="1">
      <c r="A627" s="413"/>
      <c r="B627" s="413"/>
      <c r="C627" s="414"/>
      <c r="D627" s="413"/>
      <c r="E627" s="413"/>
      <c r="F627" s="413"/>
      <c r="G627" s="413"/>
      <c r="H627" s="413"/>
      <c r="I627" s="413"/>
      <c r="J627" s="413"/>
      <c r="K627" s="413"/>
      <c r="L627" s="413"/>
      <c r="M627" s="413"/>
      <c r="N627" s="413"/>
      <c r="O627" s="413"/>
      <c r="P627" s="413"/>
      <c r="Q627" s="413"/>
      <c r="R627" s="413"/>
      <c r="S627" s="413"/>
      <c r="T627" s="413"/>
      <c r="U627" s="413"/>
      <c r="V627" s="413"/>
      <c r="W627" s="413"/>
      <c r="X627" s="413"/>
      <c r="Y627" s="413"/>
      <c r="Z627" s="413"/>
    </row>
    <row r="628" ht="12.0" customHeight="1">
      <c r="A628" s="413"/>
      <c r="B628" s="413"/>
      <c r="C628" s="414"/>
      <c r="D628" s="413"/>
      <c r="E628" s="413"/>
      <c r="F628" s="413"/>
      <c r="G628" s="413"/>
      <c r="H628" s="413"/>
      <c r="I628" s="413"/>
      <c r="J628" s="413"/>
      <c r="K628" s="413"/>
      <c r="L628" s="413"/>
      <c r="M628" s="413"/>
      <c r="N628" s="413"/>
      <c r="O628" s="413"/>
      <c r="P628" s="413"/>
      <c r="Q628" s="413"/>
      <c r="R628" s="413"/>
      <c r="S628" s="413"/>
      <c r="T628" s="413"/>
      <c r="U628" s="413"/>
      <c r="V628" s="413"/>
      <c r="W628" s="413"/>
      <c r="X628" s="413"/>
      <c r="Y628" s="413"/>
      <c r="Z628" s="413"/>
    </row>
    <row r="629" ht="12.0" customHeight="1">
      <c r="A629" s="413"/>
      <c r="B629" s="413"/>
      <c r="C629" s="414"/>
      <c r="D629" s="413"/>
      <c r="E629" s="413"/>
      <c r="F629" s="413"/>
      <c r="G629" s="413"/>
      <c r="H629" s="413"/>
      <c r="I629" s="413"/>
      <c r="J629" s="413"/>
      <c r="K629" s="413"/>
      <c r="L629" s="413"/>
      <c r="M629" s="413"/>
      <c r="N629" s="413"/>
      <c r="O629" s="413"/>
      <c r="P629" s="413"/>
      <c r="Q629" s="413"/>
      <c r="R629" s="413"/>
      <c r="S629" s="413"/>
      <c r="T629" s="413"/>
      <c r="U629" s="413"/>
      <c r="V629" s="413"/>
      <c r="W629" s="413"/>
      <c r="X629" s="413"/>
      <c r="Y629" s="413"/>
      <c r="Z629" s="413"/>
    </row>
    <row r="630" ht="12.0" customHeight="1">
      <c r="A630" s="413"/>
      <c r="B630" s="413"/>
      <c r="C630" s="414"/>
      <c r="D630" s="413"/>
      <c r="E630" s="413"/>
      <c r="F630" s="413"/>
      <c r="G630" s="413"/>
      <c r="H630" s="413"/>
      <c r="I630" s="413"/>
      <c r="J630" s="413"/>
      <c r="K630" s="413"/>
      <c r="L630" s="413"/>
      <c r="M630" s="413"/>
      <c r="N630" s="413"/>
      <c r="O630" s="413"/>
      <c r="P630" s="413"/>
      <c r="Q630" s="413"/>
      <c r="R630" s="413"/>
      <c r="S630" s="413"/>
      <c r="T630" s="413"/>
      <c r="U630" s="413"/>
      <c r="V630" s="413"/>
      <c r="W630" s="413"/>
      <c r="X630" s="413"/>
      <c r="Y630" s="413"/>
      <c r="Z630" s="413"/>
    </row>
    <row r="631" ht="12.0" customHeight="1">
      <c r="A631" s="413"/>
      <c r="B631" s="413"/>
      <c r="C631" s="414"/>
      <c r="D631" s="413"/>
      <c r="E631" s="413"/>
      <c r="F631" s="413"/>
      <c r="G631" s="413"/>
      <c r="H631" s="413"/>
      <c r="I631" s="413"/>
      <c r="J631" s="413"/>
      <c r="K631" s="413"/>
      <c r="L631" s="413"/>
      <c r="M631" s="413"/>
      <c r="N631" s="413"/>
      <c r="O631" s="413"/>
      <c r="P631" s="413"/>
      <c r="Q631" s="413"/>
      <c r="R631" s="413"/>
      <c r="S631" s="413"/>
      <c r="T631" s="413"/>
      <c r="U631" s="413"/>
      <c r="V631" s="413"/>
      <c r="W631" s="413"/>
      <c r="X631" s="413"/>
      <c r="Y631" s="413"/>
      <c r="Z631" s="413"/>
    </row>
    <row r="632" ht="12.0" customHeight="1">
      <c r="A632" s="413"/>
      <c r="B632" s="413"/>
      <c r="C632" s="414"/>
      <c r="D632" s="413"/>
      <c r="E632" s="413"/>
      <c r="F632" s="413"/>
      <c r="G632" s="413"/>
      <c r="H632" s="413"/>
      <c r="I632" s="413"/>
      <c r="J632" s="413"/>
      <c r="K632" s="413"/>
      <c r="L632" s="413"/>
      <c r="M632" s="413"/>
      <c r="N632" s="413"/>
      <c r="O632" s="413"/>
      <c r="P632" s="413"/>
      <c r="Q632" s="413"/>
      <c r="R632" s="413"/>
      <c r="S632" s="413"/>
      <c r="T632" s="413"/>
      <c r="U632" s="413"/>
      <c r="V632" s="413"/>
      <c r="W632" s="413"/>
      <c r="X632" s="413"/>
      <c r="Y632" s="413"/>
      <c r="Z632" s="413"/>
    </row>
    <row r="633" ht="12.0" customHeight="1">
      <c r="A633" s="413"/>
      <c r="B633" s="413"/>
      <c r="C633" s="414"/>
      <c r="D633" s="413"/>
      <c r="E633" s="413"/>
      <c r="F633" s="413"/>
      <c r="G633" s="413"/>
      <c r="H633" s="413"/>
      <c r="I633" s="413"/>
      <c r="J633" s="413"/>
      <c r="K633" s="413"/>
      <c r="L633" s="413"/>
      <c r="M633" s="413"/>
      <c r="N633" s="413"/>
      <c r="O633" s="413"/>
      <c r="P633" s="413"/>
      <c r="Q633" s="413"/>
      <c r="R633" s="413"/>
      <c r="S633" s="413"/>
      <c r="T633" s="413"/>
      <c r="U633" s="413"/>
      <c r="V633" s="413"/>
      <c r="W633" s="413"/>
      <c r="X633" s="413"/>
      <c r="Y633" s="413"/>
      <c r="Z633" s="413"/>
    </row>
    <row r="634" ht="12.0" customHeight="1">
      <c r="A634" s="413"/>
      <c r="B634" s="413"/>
      <c r="C634" s="414"/>
      <c r="D634" s="413"/>
      <c r="E634" s="413"/>
      <c r="F634" s="413"/>
      <c r="G634" s="413"/>
      <c r="H634" s="413"/>
      <c r="I634" s="413"/>
      <c r="J634" s="413"/>
      <c r="K634" s="413"/>
      <c r="L634" s="413"/>
      <c r="M634" s="413"/>
      <c r="N634" s="413"/>
      <c r="O634" s="413"/>
      <c r="P634" s="413"/>
      <c r="Q634" s="413"/>
      <c r="R634" s="413"/>
      <c r="S634" s="413"/>
      <c r="T634" s="413"/>
      <c r="U634" s="413"/>
      <c r="V634" s="413"/>
      <c r="W634" s="413"/>
      <c r="X634" s="413"/>
      <c r="Y634" s="413"/>
      <c r="Z634" s="413"/>
    </row>
    <row r="635" ht="12.0" customHeight="1">
      <c r="A635" s="413"/>
      <c r="B635" s="413"/>
      <c r="C635" s="414"/>
      <c r="D635" s="413"/>
      <c r="E635" s="413"/>
      <c r="F635" s="413"/>
      <c r="G635" s="413"/>
      <c r="H635" s="413"/>
      <c r="I635" s="413"/>
      <c r="J635" s="413"/>
      <c r="K635" s="413"/>
      <c r="L635" s="413"/>
      <c r="M635" s="413"/>
      <c r="N635" s="413"/>
      <c r="O635" s="413"/>
      <c r="P635" s="413"/>
      <c r="Q635" s="413"/>
      <c r="R635" s="413"/>
      <c r="S635" s="413"/>
      <c r="T635" s="413"/>
      <c r="U635" s="413"/>
      <c r="V635" s="413"/>
      <c r="W635" s="413"/>
      <c r="X635" s="413"/>
      <c r="Y635" s="413"/>
      <c r="Z635" s="413"/>
    </row>
    <row r="636" ht="12.0" customHeight="1">
      <c r="A636" s="413"/>
      <c r="B636" s="413"/>
      <c r="C636" s="414"/>
      <c r="D636" s="413"/>
      <c r="E636" s="413"/>
      <c r="F636" s="413"/>
      <c r="G636" s="413"/>
      <c r="H636" s="413"/>
      <c r="I636" s="413"/>
      <c r="J636" s="413"/>
      <c r="K636" s="413"/>
      <c r="L636" s="413"/>
      <c r="M636" s="413"/>
      <c r="N636" s="413"/>
      <c r="O636" s="413"/>
      <c r="P636" s="413"/>
      <c r="Q636" s="413"/>
      <c r="R636" s="413"/>
      <c r="S636" s="413"/>
      <c r="T636" s="413"/>
      <c r="U636" s="413"/>
      <c r="V636" s="413"/>
      <c r="W636" s="413"/>
      <c r="X636" s="413"/>
      <c r="Y636" s="413"/>
      <c r="Z636" s="413"/>
    </row>
    <row r="637" ht="12.0" customHeight="1">
      <c r="A637" s="413"/>
      <c r="B637" s="413"/>
      <c r="C637" s="414"/>
      <c r="D637" s="413"/>
      <c r="E637" s="413"/>
      <c r="F637" s="413"/>
      <c r="G637" s="413"/>
      <c r="H637" s="413"/>
      <c r="I637" s="413"/>
      <c r="J637" s="413"/>
      <c r="K637" s="413"/>
      <c r="L637" s="413"/>
      <c r="M637" s="413"/>
      <c r="N637" s="413"/>
      <c r="O637" s="413"/>
      <c r="P637" s="413"/>
      <c r="Q637" s="413"/>
      <c r="R637" s="413"/>
      <c r="S637" s="413"/>
      <c r="T637" s="413"/>
      <c r="U637" s="413"/>
      <c r="V637" s="413"/>
      <c r="W637" s="413"/>
      <c r="X637" s="413"/>
      <c r="Y637" s="413"/>
      <c r="Z637" s="413"/>
    </row>
    <row r="638" ht="12.0" customHeight="1">
      <c r="A638" s="413"/>
      <c r="B638" s="413"/>
      <c r="C638" s="414"/>
      <c r="D638" s="413"/>
      <c r="E638" s="413"/>
      <c r="F638" s="413"/>
      <c r="G638" s="413"/>
      <c r="H638" s="413"/>
      <c r="I638" s="413"/>
      <c r="J638" s="413"/>
      <c r="K638" s="413"/>
      <c r="L638" s="413"/>
      <c r="M638" s="413"/>
      <c r="N638" s="413"/>
      <c r="O638" s="413"/>
      <c r="P638" s="413"/>
      <c r="Q638" s="413"/>
      <c r="R638" s="413"/>
      <c r="S638" s="413"/>
      <c r="T638" s="413"/>
      <c r="U638" s="413"/>
      <c r="V638" s="413"/>
      <c r="W638" s="413"/>
      <c r="X638" s="413"/>
      <c r="Y638" s="413"/>
      <c r="Z638" s="413"/>
    </row>
    <row r="639" ht="12.0" customHeight="1">
      <c r="A639" s="413"/>
      <c r="B639" s="413"/>
      <c r="C639" s="414"/>
      <c r="D639" s="413"/>
      <c r="E639" s="413"/>
      <c r="F639" s="413"/>
      <c r="G639" s="413"/>
      <c r="H639" s="413"/>
      <c r="I639" s="413"/>
      <c r="J639" s="413"/>
      <c r="K639" s="413"/>
      <c r="L639" s="413"/>
      <c r="M639" s="413"/>
      <c r="N639" s="413"/>
      <c r="O639" s="413"/>
      <c r="P639" s="413"/>
      <c r="Q639" s="413"/>
      <c r="R639" s="413"/>
      <c r="S639" s="413"/>
      <c r="T639" s="413"/>
      <c r="U639" s="413"/>
      <c r="V639" s="413"/>
      <c r="W639" s="413"/>
      <c r="X639" s="413"/>
      <c r="Y639" s="413"/>
      <c r="Z639" s="413"/>
    </row>
    <row r="640" ht="12.0" customHeight="1">
      <c r="A640" s="413"/>
      <c r="B640" s="413"/>
      <c r="C640" s="414"/>
      <c r="D640" s="413"/>
      <c r="E640" s="413"/>
      <c r="F640" s="413"/>
      <c r="G640" s="413"/>
      <c r="H640" s="413"/>
      <c r="I640" s="413"/>
      <c r="J640" s="413"/>
      <c r="K640" s="413"/>
      <c r="L640" s="413"/>
      <c r="M640" s="413"/>
      <c r="N640" s="413"/>
      <c r="O640" s="413"/>
      <c r="P640" s="413"/>
      <c r="Q640" s="413"/>
      <c r="R640" s="413"/>
      <c r="S640" s="413"/>
      <c r="T640" s="413"/>
      <c r="U640" s="413"/>
      <c r="V640" s="413"/>
      <c r="W640" s="413"/>
      <c r="X640" s="413"/>
      <c r="Y640" s="413"/>
      <c r="Z640" s="413"/>
    </row>
    <row r="641" ht="12.0" customHeight="1">
      <c r="A641" s="413"/>
      <c r="B641" s="413"/>
      <c r="C641" s="414"/>
      <c r="D641" s="413"/>
      <c r="E641" s="413"/>
      <c r="F641" s="413"/>
      <c r="G641" s="413"/>
      <c r="H641" s="413"/>
      <c r="I641" s="413"/>
      <c r="J641" s="413"/>
      <c r="K641" s="413"/>
      <c r="L641" s="413"/>
      <c r="M641" s="413"/>
      <c r="N641" s="413"/>
      <c r="O641" s="413"/>
      <c r="P641" s="413"/>
      <c r="Q641" s="413"/>
      <c r="R641" s="413"/>
      <c r="S641" s="413"/>
      <c r="T641" s="413"/>
      <c r="U641" s="413"/>
      <c r="V641" s="413"/>
      <c r="W641" s="413"/>
      <c r="X641" s="413"/>
      <c r="Y641" s="413"/>
      <c r="Z641" s="413"/>
    </row>
    <row r="642" ht="12.0" customHeight="1">
      <c r="A642" s="413"/>
      <c r="B642" s="413"/>
      <c r="C642" s="414"/>
      <c r="D642" s="413"/>
      <c r="E642" s="413"/>
      <c r="F642" s="413"/>
      <c r="G642" s="413"/>
      <c r="H642" s="413"/>
      <c r="I642" s="413"/>
      <c r="J642" s="413"/>
      <c r="K642" s="413"/>
      <c r="L642" s="413"/>
      <c r="M642" s="413"/>
      <c r="N642" s="413"/>
      <c r="O642" s="413"/>
      <c r="P642" s="413"/>
      <c r="Q642" s="413"/>
      <c r="R642" s="413"/>
      <c r="S642" s="413"/>
      <c r="T642" s="413"/>
      <c r="U642" s="413"/>
      <c r="V642" s="413"/>
      <c r="W642" s="413"/>
      <c r="X642" s="413"/>
      <c r="Y642" s="413"/>
      <c r="Z642" s="413"/>
    </row>
    <row r="643" ht="12.0" customHeight="1">
      <c r="A643" s="413"/>
      <c r="B643" s="413"/>
      <c r="C643" s="414"/>
      <c r="D643" s="413"/>
      <c r="E643" s="413"/>
      <c r="F643" s="413"/>
      <c r="G643" s="413"/>
      <c r="H643" s="413"/>
      <c r="I643" s="413"/>
      <c r="J643" s="413"/>
      <c r="K643" s="413"/>
      <c r="L643" s="413"/>
      <c r="M643" s="413"/>
      <c r="N643" s="413"/>
      <c r="O643" s="413"/>
      <c r="P643" s="413"/>
      <c r="Q643" s="413"/>
      <c r="R643" s="413"/>
      <c r="S643" s="413"/>
      <c r="T643" s="413"/>
      <c r="U643" s="413"/>
      <c r="V643" s="413"/>
      <c r="W643" s="413"/>
      <c r="X643" s="413"/>
      <c r="Y643" s="413"/>
      <c r="Z643" s="413"/>
    </row>
    <row r="644" ht="12.0" customHeight="1">
      <c r="A644" s="413"/>
      <c r="B644" s="413"/>
      <c r="C644" s="414"/>
      <c r="D644" s="413"/>
      <c r="E644" s="413"/>
      <c r="F644" s="413"/>
      <c r="G644" s="413"/>
      <c r="H644" s="413"/>
      <c r="I644" s="413"/>
      <c r="J644" s="413"/>
      <c r="K644" s="413"/>
      <c r="L644" s="413"/>
      <c r="M644" s="413"/>
      <c r="N644" s="413"/>
      <c r="O644" s="413"/>
      <c r="P644" s="413"/>
      <c r="Q644" s="413"/>
      <c r="R644" s="413"/>
      <c r="S644" s="413"/>
      <c r="T644" s="413"/>
      <c r="U644" s="413"/>
      <c r="V644" s="413"/>
      <c r="W644" s="413"/>
      <c r="X644" s="413"/>
      <c r="Y644" s="413"/>
      <c r="Z644" s="413"/>
    </row>
    <row r="645" ht="12.0" customHeight="1">
      <c r="A645" s="413"/>
      <c r="B645" s="413"/>
      <c r="C645" s="414"/>
      <c r="D645" s="413"/>
      <c r="E645" s="413"/>
      <c r="F645" s="413"/>
      <c r="G645" s="413"/>
      <c r="H645" s="413"/>
      <c r="I645" s="413"/>
      <c r="J645" s="413"/>
      <c r="K645" s="413"/>
      <c r="L645" s="413"/>
      <c r="M645" s="413"/>
      <c r="N645" s="413"/>
      <c r="O645" s="413"/>
      <c r="P645" s="413"/>
      <c r="Q645" s="413"/>
      <c r="R645" s="413"/>
      <c r="S645" s="413"/>
      <c r="T645" s="413"/>
      <c r="U645" s="413"/>
      <c r="V645" s="413"/>
      <c r="W645" s="413"/>
      <c r="X645" s="413"/>
      <c r="Y645" s="413"/>
      <c r="Z645" s="413"/>
    </row>
    <row r="646" ht="12.0" customHeight="1">
      <c r="A646" s="413"/>
      <c r="B646" s="413"/>
      <c r="C646" s="414"/>
      <c r="D646" s="413"/>
      <c r="E646" s="413"/>
      <c r="F646" s="413"/>
      <c r="G646" s="413"/>
      <c r="H646" s="413"/>
      <c r="I646" s="413"/>
      <c r="J646" s="413"/>
      <c r="K646" s="413"/>
      <c r="L646" s="413"/>
      <c r="M646" s="413"/>
      <c r="N646" s="413"/>
      <c r="O646" s="413"/>
      <c r="P646" s="413"/>
      <c r="Q646" s="413"/>
      <c r="R646" s="413"/>
      <c r="S646" s="413"/>
      <c r="T646" s="413"/>
      <c r="U646" s="413"/>
      <c r="V646" s="413"/>
      <c r="W646" s="413"/>
      <c r="X646" s="413"/>
      <c r="Y646" s="413"/>
      <c r="Z646" s="413"/>
    </row>
    <row r="647" ht="12.0" customHeight="1">
      <c r="A647" s="413"/>
      <c r="B647" s="413"/>
      <c r="C647" s="414"/>
      <c r="D647" s="413"/>
      <c r="E647" s="413"/>
      <c r="F647" s="413"/>
      <c r="G647" s="413"/>
      <c r="H647" s="413"/>
      <c r="I647" s="413"/>
      <c r="J647" s="413"/>
      <c r="K647" s="413"/>
      <c r="L647" s="413"/>
      <c r="M647" s="413"/>
      <c r="N647" s="413"/>
      <c r="O647" s="413"/>
      <c r="P647" s="413"/>
      <c r="Q647" s="413"/>
      <c r="R647" s="413"/>
      <c r="S647" s="413"/>
      <c r="T647" s="413"/>
      <c r="U647" s="413"/>
      <c r="V647" s="413"/>
      <c r="W647" s="413"/>
      <c r="X647" s="413"/>
      <c r="Y647" s="413"/>
      <c r="Z647" s="413"/>
    </row>
    <row r="648" ht="12.0" customHeight="1">
      <c r="A648" s="413"/>
      <c r="B648" s="413"/>
      <c r="C648" s="414"/>
      <c r="D648" s="413"/>
      <c r="E648" s="413"/>
      <c r="F648" s="413"/>
      <c r="G648" s="413"/>
      <c r="H648" s="413"/>
      <c r="I648" s="413"/>
      <c r="J648" s="413"/>
      <c r="K648" s="413"/>
      <c r="L648" s="413"/>
      <c r="M648" s="413"/>
      <c r="N648" s="413"/>
      <c r="O648" s="413"/>
      <c r="P648" s="413"/>
      <c r="Q648" s="413"/>
      <c r="R648" s="413"/>
      <c r="S648" s="413"/>
      <c r="T648" s="413"/>
      <c r="U648" s="413"/>
      <c r="V648" s="413"/>
      <c r="W648" s="413"/>
      <c r="X648" s="413"/>
      <c r="Y648" s="413"/>
      <c r="Z648" s="413"/>
    </row>
    <row r="649" ht="12.0" customHeight="1">
      <c r="A649" s="413"/>
      <c r="B649" s="413"/>
      <c r="C649" s="414"/>
      <c r="D649" s="413"/>
      <c r="E649" s="413"/>
      <c r="F649" s="413"/>
      <c r="G649" s="413"/>
      <c r="H649" s="413"/>
      <c r="I649" s="413"/>
      <c r="J649" s="413"/>
      <c r="K649" s="413"/>
      <c r="L649" s="413"/>
      <c r="M649" s="413"/>
      <c r="N649" s="413"/>
      <c r="O649" s="413"/>
      <c r="P649" s="413"/>
      <c r="Q649" s="413"/>
      <c r="R649" s="413"/>
      <c r="S649" s="413"/>
      <c r="T649" s="413"/>
      <c r="U649" s="413"/>
      <c r="V649" s="413"/>
      <c r="W649" s="413"/>
      <c r="X649" s="413"/>
      <c r="Y649" s="413"/>
      <c r="Z649" s="413"/>
    </row>
    <row r="650" ht="12.0" customHeight="1">
      <c r="A650" s="413"/>
      <c r="B650" s="413"/>
      <c r="C650" s="414"/>
      <c r="D650" s="413"/>
      <c r="E650" s="413"/>
      <c r="F650" s="413"/>
      <c r="G650" s="413"/>
      <c r="H650" s="413"/>
      <c r="I650" s="413"/>
      <c r="J650" s="413"/>
      <c r="K650" s="413"/>
      <c r="L650" s="413"/>
      <c r="M650" s="413"/>
      <c r="N650" s="413"/>
      <c r="O650" s="413"/>
      <c r="P650" s="413"/>
      <c r="Q650" s="413"/>
      <c r="R650" s="413"/>
      <c r="S650" s="413"/>
      <c r="T650" s="413"/>
      <c r="U650" s="413"/>
      <c r="V650" s="413"/>
      <c r="W650" s="413"/>
      <c r="X650" s="413"/>
      <c r="Y650" s="413"/>
      <c r="Z650" s="413"/>
    </row>
    <row r="651" ht="12.0" customHeight="1">
      <c r="A651" s="413"/>
      <c r="B651" s="413"/>
      <c r="C651" s="414"/>
      <c r="D651" s="413"/>
      <c r="E651" s="413"/>
      <c r="F651" s="413"/>
      <c r="G651" s="413"/>
      <c r="H651" s="413"/>
      <c r="I651" s="413"/>
      <c r="J651" s="413"/>
      <c r="K651" s="413"/>
      <c r="L651" s="413"/>
      <c r="M651" s="413"/>
      <c r="N651" s="413"/>
      <c r="O651" s="413"/>
      <c r="P651" s="413"/>
      <c r="Q651" s="413"/>
      <c r="R651" s="413"/>
      <c r="S651" s="413"/>
      <c r="T651" s="413"/>
      <c r="U651" s="413"/>
      <c r="V651" s="413"/>
      <c r="W651" s="413"/>
      <c r="X651" s="413"/>
      <c r="Y651" s="413"/>
      <c r="Z651" s="413"/>
    </row>
    <row r="652" ht="12.0" customHeight="1">
      <c r="A652" s="413"/>
      <c r="B652" s="413"/>
      <c r="C652" s="414"/>
      <c r="D652" s="413"/>
      <c r="E652" s="413"/>
      <c r="F652" s="413"/>
      <c r="G652" s="413"/>
      <c r="H652" s="413"/>
      <c r="I652" s="413"/>
      <c r="J652" s="413"/>
      <c r="K652" s="413"/>
      <c r="L652" s="413"/>
      <c r="M652" s="413"/>
      <c r="N652" s="413"/>
      <c r="O652" s="413"/>
      <c r="P652" s="413"/>
      <c r="Q652" s="413"/>
      <c r="R652" s="413"/>
      <c r="S652" s="413"/>
      <c r="T652" s="413"/>
      <c r="U652" s="413"/>
      <c r="V652" s="413"/>
      <c r="W652" s="413"/>
      <c r="X652" s="413"/>
      <c r="Y652" s="413"/>
      <c r="Z652" s="413"/>
    </row>
    <row r="653" ht="12.0" customHeight="1">
      <c r="A653" s="413"/>
      <c r="B653" s="413"/>
      <c r="C653" s="414"/>
      <c r="D653" s="413"/>
      <c r="E653" s="413"/>
      <c r="F653" s="413"/>
      <c r="G653" s="413"/>
      <c r="H653" s="413"/>
      <c r="I653" s="413"/>
      <c r="J653" s="413"/>
      <c r="K653" s="413"/>
      <c r="L653" s="413"/>
      <c r="M653" s="413"/>
      <c r="N653" s="413"/>
      <c r="O653" s="413"/>
      <c r="P653" s="413"/>
      <c r="Q653" s="413"/>
      <c r="R653" s="413"/>
      <c r="S653" s="413"/>
      <c r="T653" s="413"/>
      <c r="U653" s="413"/>
      <c r="V653" s="413"/>
      <c r="W653" s="413"/>
      <c r="X653" s="413"/>
      <c r="Y653" s="413"/>
      <c r="Z653" s="413"/>
    </row>
    <row r="654" ht="12.0" customHeight="1">
      <c r="A654" s="413"/>
      <c r="B654" s="413"/>
      <c r="C654" s="414"/>
      <c r="D654" s="413"/>
      <c r="E654" s="413"/>
      <c r="F654" s="413"/>
      <c r="G654" s="413"/>
      <c r="H654" s="413"/>
      <c r="I654" s="413"/>
      <c r="J654" s="413"/>
      <c r="K654" s="413"/>
      <c r="L654" s="413"/>
      <c r="M654" s="413"/>
      <c r="N654" s="413"/>
      <c r="O654" s="413"/>
      <c r="P654" s="413"/>
      <c r="Q654" s="413"/>
      <c r="R654" s="413"/>
      <c r="S654" s="413"/>
      <c r="T654" s="413"/>
      <c r="U654" s="413"/>
      <c r="V654" s="413"/>
      <c r="W654" s="413"/>
      <c r="X654" s="413"/>
      <c r="Y654" s="413"/>
      <c r="Z654" s="413"/>
    </row>
    <row r="655" ht="12.0" customHeight="1">
      <c r="A655" s="413"/>
      <c r="B655" s="413"/>
      <c r="C655" s="414"/>
      <c r="D655" s="413"/>
      <c r="E655" s="413"/>
      <c r="F655" s="413"/>
      <c r="G655" s="413"/>
      <c r="H655" s="413"/>
      <c r="I655" s="413"/>
      <c r="J655" s="413"/>
      <c r="K655" s="413"/>
      <c r="L655" s="413"/>
      <c r="M655" s="413"/>
      <c r="N655" s="413"/>
      <c r="O655" s="413"/>
      <c r="P655" s="413"/>
      <c r="Q655" s="413"/>
      <c r="R655" s="413"/>
      <c r="S655" s="413"/>
      <c r="T655" s="413"/>
      <c r="U655" s="413"/>
      <c r="V655" s="413"/>
      <c r="W655" s="413"/>
      <c r="X655" s="413"/>
      <c r="Y655" s="413"/>
      <c r="Z655" s="413"/>
    </row>
    <row r="656" ht="12.0" customHeight="1">
      <c r="A656" s="413"/>
      <c r="B656" s="413"/>
      <c r="C656" s="414"/>
      <c r="D656" s="413"/>
      <c r="E656" s="413"/>
      <c r="F656" s="413"/>
      <c r="G656" s="413"/>
      <c r="H656" s="413"/>
      <c r="I656" s="413"/>
      <c r="J656" s="413"/>
      <c r="K656" s="413"/>
      <c r="L656" s="413"/>
      <c r="M656" s="413"/>
      <c r="N656" s="413"/>
      <c r="O656" s="413"/>
      <c r="P656" s="413"/>
      <c r="Q656" s="413"/>
      <c r="R656" s="413"/>
      <c r="S656" s="413"/>
      <c r="T656" s="413"/>
      <c r="U656" s="413"/>
      <c r="V656" s="413"/>
      <c r="W656" s="413"/>
      <c r="X656" s="413"/>
      <c r="Y656" s="413"/>
      <c r="Z656" s="413"/>
    </row>
    <row r="657" ht="12.0" customHeight="1">
      <c r="A657" s="413"/>
      <c r="B657" s="413"/>
      <c r="C657" s="414"/>
      <c r="D657" s="413"/>
      <c r="E657" s="413"/>
      <c r="F657" s="413"/>
      <c r="G657" s="413"/>
      <c r="H657" s="413"/>
      <c r="I657" s="413"/>
      <c r="J657" s="413"/>
      <c r="K657" s="413"/>
      <c r="L657" s="413"/>
      <c r="M657" s="413"/>
      <c r="N657" s="413"/>
      <c r="O657" s="413"/>
      <c r="P657" s="413"/>
      <c r="Q657" s="413"/>
      <c r="R657" s="413"/>
      <c r="S657" s="413"/>
      <c r="T657" s="413"/>
      <c r="U657" s="413"/>
      <c r="V657" s="413"/>
      <c r="W657" s="413"/>
      <c r="X657" s="413"/>
      <c r="Y657" s="413"/>
      <c r="Z657" s="413"/>
    </row>
    <row r="658" ht="12.0" customHeight="1">
      <c r="A658" s="413"/>
      <c r="B658" s="413"/>
      <c r="C658" s="414"/>
      <c r="D658" s="413"/>
      <c r="E658" s="413"/>
      <c r="F658" s="413"/>
      <c r="G658" s="413"/>
      <c r="H658" s="413"/>
      <c r="I658" s="413"/>
      <c r="J658" s="413"/>
      <c r="K658" s="413"/>
      <c r="L658" s="413"/>
      <c r="M658" s="413"/>
      <c r="N658" s="413"/>
      <c r="O658" s="413"/>
      <c r="P658" s="413"/>
      <c r="Q658" s="413"/>
      <c r="R658" s="413"/>
      <c r="S658" s="413"/>
      <c r="T658" s="413"/>
      <c r="U658" s="413"/>
      <c r="V658" s="413"/>
      <c r="W658" s="413"/>
      <c r="X658" s="413"/>
      <c r="Y658" s="413"/>
      <c r="Z658" s="413"/>
    </row>
    <row r="659" ht="12.0" customHeight="1">
      <c r="A659" s="413"/>
      <c r="B659" s="413"/>
      <c r="C659" s="414"/>
      <c r="D659" s="413"/>
      <c r="E659" s="413"/>
      <c r="F659" s="413"/>
      <c r="G659" s="413"/>
      <c r="H659" s="413"/>
      <c r="I659" s="413"/>
      <c r="J659" s="413"/>
      <c r="K659" s="413"/>
      <c r="L659" s="413"/>
      <c r="M659" s="413"/>
      <c r="N659" s="413"/>
      <c r="O659" s="413"/>
      <c r="P659" s="413"/>
      <c r="Q659" s="413"/>
      <c r="R659" s="413"/>
      <c r="S659" s="413"/>
      <c r="T659" s="413"/>
      <c r="U659" s="413"/>
      <c r="V659" s="413"/>
      <c r="W659" s="413"/>
      <c r="X659" s="413"/>
      <c r="Y659" s="413"/>
      <c r="Z659" s="413"/>
    </row>
    <row r="660" ht="12.0" customHeight="1">
      <c r="A660" s="413"/>
      <c r="B660" s="413"/>
      <c r="C660" s="414"/>
      <c r="D660" s="413"/>
      <c r="E660" s="413"/>
      <c r="F660" s="413"/>
      <c r="G660" s="413"/>
      <c r="H660" s="413"/>
      <c r="I660" s="413"/>
      <c r="J660" s="413"/>
      <c r="K660" s="413"/>
      <c r="L660" s="413"/>
      <c r="M660" s="413"/>
      <c r="N660" s="413"/>
      <c r="O660" s="413"/>
      <c r="P660" s="413"/>
      <c r="Q660" s="413"/>
      <c r="R660" s="413"/>
      <c r="S660" s="413"/>
      <c r="T660" s="413"/>
      <c r="U660" s="413"/>
      <c r="V660" s="413"/>
      <c r="W660" s="413"/>
      <c r="X660" s="413"/>
      <c r="Y660" s="413"/>
      <c r="Z660" s="413"/>
    </row>
    <row r="661" ht="12.0" customHeight="1">
      <c r="A661" s="413"/>
      <c r="B661" s="413"/>
      <c r="C661" s="414"/>
      <c r="D661" s="413"/>
      <c r="E661" s="413"/>
      <c r="F661" s="413"/>
      <c r="G661" s="413"/>
      <c r="H661" s="413"/>
      <c r="I661" s="413"/>
      <c r="J661" s="413"/>
      <c r="K661" s="413"/>
      <c r="L661" s="413"/>
      <c r="M661" s="413"/>
      <c r="N661" s="413"/>
      <c r="O661" s="413"/>
      <c r="P661" s="413"/>
      <c r="Q661" s="413"/>
      <c r="R661" s="413"/>
      <c r="S661" s="413"/>
      <c r="T661" s="413"/>
      <c r="U661" s="413"/>
      <c r="V661" s="413"/>
      <c r="W661" s="413"/>
      <c r="X661" s="413"/>
      <c r="Y661" s="413"/>
      <c r="Z661" s="413"/>
    </row>
    <row r="662" ht="12.0" customHeight="1">
      <c r="A662" s="413"/>
      <c r="B662" s="413"/>
      <c r="C662" s="414"/>
      <c r="D662" s="413"/>
      <c r="E662" s="413"/>
      <c r="F662" s="413"/>
      <c r="G662" s="413"/>
      <c r="H662" s="413"/>
      <c r="I662" s="413"/>
      <c r="J662" s="413"/>
      <c r="K662" s="413"/>
      <c r="L662" s="413"/>
      <c r="M662" s="413"/>
      <c r="N662" s="413"/>
      <c r="O662" s="413"/>
      <c r="P662" s="413"/>
      <c r="Q662" s="413"/>
      <c r="R662" s="413"/>
      <c r="S662" s="413"/>
      <c r="T662" s="413"/>
      <c r="U662" s="413"/>
      <c r="V662" s="413"/>
      <c r="W662" s="413"/>
      <c r="X662" s="413"/>
      <c r="Y662" s="413"/>
      <c r="Z662" s="413"/>
    </row>
    <row r="663" ht="12.0" customHeight="1">
      <c r="A663" s="413"/>
      <c r="B663" s="413"/>
      <c r="C663" s="414"/>
      <c r="D663" s="413"/>
      <c r="E663" s="413"/>
      <c r="F663" s="413"/>
      <c r="G663" s="413"/>
      <c r="H663" s="413"/>
      <c r="I663" s="413"/>
      <c r="J663" s="413"/>
      <c r="K663" s="413"/>
      <c r="L663" s="413"/>
      <c r="M663" s="413"/>
      <c r="N663" s="413"/>
      <c r="O663" s="413"/>
      <c r="P663" s="413"/>
      <c r="Q663" s="413"/>
      <c r="R663" s="413"/>
      <c r="S663" s="413"/>
      <c r="T663" s="413"/>
      <c r="U663" s="413"/>
      <c r="V663" s="413"/>
      <c r="W663" s="413"/>
      <c r="X663" s="413"/>
      <c r="Y663" s="413"/>
      <c r="Z663" s="413"/>
    </row>
    <row r="664" ht="12.0" customHeight="1">
      <c r="A664" s="413"/>
      <c r="B664" s="413"/>
      <c r="C664" s="414"/>
      <c r="D664" s="413"/>
      <c r="E664" s="413"/>
      <c r="F664" s="413"/>
      <c r="G664" s="413"/>
      <c r="H664" s="413"/>
      <c r="I664" s="413"/>
      <c r="J664" s="413"/>
      <c r="K664" s="413"/>
      <c r="L664" s="413"/>
      <c r="M664" s="413"/>
      <c r="N664" s="413"/>
      <c r="O664" s="413"/>
      <c r="P664" s="413"/>
      <c r="Q664" s="413"/>
      <c r="R664" s="413"/>
      <c r="S664" s="413"/>
      <c r="T664" s="413"/>
      <c r="U664" s="413"/>
      <c r="V664" s="413"/>
      <c r="W664" s="413"/>
      <c r="X664" s="413"/>
      <c r="Y664" s="413"/>
      <c r="Z664" s="413"/>
    </row>
    <row r="665" ht="12.0" customHeight="1">
      <c r="A665" s="413"/>
      <c r="B665" s="413"/>
      <c r="C665" s="414"/>
      <c r="D665" s="413"/>
      <c r="E665" s="413"/>
      <c r="F665" s="413"/>
      <c r="G665" s="413"/>
      <c r="H665" s="413"/>
      <c r="I665" s="413"/>
      <c r="J665" s="413"/>
      <c r="K665" s="413"/>
      <c r="L665" s="413"/>
      <c r="M665" s="413"/>
      <c r="N665" s="413"/>
      <c r="O665" s="413"/>
      <c r="P665" s="413"/>
      <c r="Q665" s="413"/>
      <c r="R665" s="413"/>
      <c r="S665" s="413"/>
      <c r="T665" s="413"/>
      <c r="U665" s="413"/>
      <c r="V665" s="413"/>
      <c r="W665" s="413"/>
      <c r="X665" s="413"/>
      <c r="Y665" s="413"/>
      <c r="Z665" s="413"/>
    </row>
    <row r="666" ht="12.0" customHeight="1">
      <c r="A666" s="413"/>
      <c r="B666" s="413"/>
      <c r="C666" s="414"/>
      <c r="D666" s="413"/>
      <c r="E666" s="413"/>
      <c r="F666" s="413"/>
      <c r="G666" s="413"/>
      <c r="H666" s="413"/>
      <c r="I666" s="413"/>
      <c r="J666" s="413"/>
      <c r="K666" s="413"/>
      <c r="L666" s="413"/>
      <c r="M666" s="413"/>
      <c r="N666" s="413"/>
      <c r="O666" s="413"/>
      <c r="P666" s="413"/>
      <c r="Q666" s="413"/>
      <c r="R666" s="413"/>
      <c r="S666" s="413"/>
      <c r="T666" s="413"/>
      <c r="U666" s="413"/>
      <c r="V666" s="413"/>
      <c r="W666" s="413"/>
      <c r="X666" s="413"/>
      <c r="Y666" s="413"/>
      <c r="Z666" s="413"/>
    </row>
    <row r="667" ht="12.0" customHeight="1">
      <c r="A667" s="413"/>
      <c r="B667" s="413"/>
      <c r="C667" s="414"/>
      <c r="D667" s="413"/>
      <c r="E667" s="413"/>
      <c r="F667" s="413"/>
      <c r="G667" s="413"/>
      <c r="H667" s="413"/>
      <c r="I667" s="413"/>
      <c r="J667" s="413"/>
      <c r="K667" s="413"/>
      <c r="L667" s="413"/>
      <c r="M667" s="413"/>
      <c r="N667" s="413"/>
      <c r="O667" s="413"/>
      <c r="P667" s="413"/>
      <c r="Q667" s="413"/>
      <c r="R667" s="413"/>
      <c r="S667" s="413"/>
      <c r="T667" s="413"/>
      <c r="U667" s="413"/>
      <c r="V667" s="413"/>
      <c r="W667" s="413"/>
      <c r="X667" s="413"/>
      <c r="Y667" s="413"/>
      <c r="Z667" s="413"/>
    </row>
    <row r="668" ht="12.0" customHeight="1">
      <c r="A668" s="413"/>
      <c r="B668" s="413"/>
      <c r="C668" s="414"/>
      <c r="D668" s="413"/>
      <c r="E668" s="413"/>
      <c r="F668" s="413"/>
      <c r="G668" s="413"/>
      <c r="H668" s="413"/>
      <c r="I668" s="413"/>
      <c r="J668" s="413"/>
      <c r="K668" s="413"/>
      <c r="L668" s="413"/>
      <c r="M668" s="413"/>
      <c r="N668" s="413"/>
      <c r="O668" s="413"/>
      <c r="P668" s="413"/>
      <c r="Q668" s="413"/>
      <c r="R668" s="413"/>
      <c r="S668" s="413"/>
      <c r="T668" s="413"/>
      <c r="U668" s="413"/>
      <c r="V668" s="413"/>
      <c r="W668" s="413"/>
      <c r="X668" s="413"/>
      <c r="Y668" s="413"/>
      <c r="Z668" s="413"/>
    </row>
    <row r="669" ht="12.0" customHeight="1">
      <c r="A669" s="413"/>
      <c r="B669" s="413"/>
      <c r="C669" s="414"/>
      <c r="D669" s="413"/>
      <c r="E669" s="413"/>
      <c r="F669" s="413"/>
      <c r="G669" s="413"/>
      <c r="H669" s="413"/>
      <c r="I669" s="413"/>
      <c r="J669" s="413"/>
      <c r="K669" s="413"/>
      <c r="L669" s="413"/>
      <c r="M669" s="413"/>
      <c r="N669" s="413"/>
      <c r="O669" s="413"/>
      <c r="P669" s="413"/>
      <c r="Q669" s="413"/>
      <c r="R669" s="413"/>
      <c r="S669" s="413"/>
      <c r="T669" s="413"/>
      <c r="U669" s="413"/>
      <c r="V669" s="413"/>
      <c r="W669" s="413"/>
      <c r="X669" s="413"/>
      <c r="Y669" s="413"/>
      <c r="Z669" s="413"/>
    </row>
    <row r="670" ht="12.0" customHeight="1">
      <c r="A670" s="413"/>
      <c r="B670" s="413"/>
      <c r="C670" s="414"/>
      <c r="D670" s="413"/>
      <c r="E670" s="413"/>
      <c r="F670" s="413"/>
      <c r="G670" s="413"/>
      <c r="H670" s="413"/>
      <c r="I670" s="413"/>
      <c r="J670" s="413"/>
      <c r="K670" s="413"/>
      <c r="L670" s="413"/>
      <c r="M670" s="413"/>
      <c r="N670" s="413"/>
      <c r="O670" s="413"/>
      <c r="P670" s="413"/>
      <c r="Q670" s="413"/>
      <c r="R670" s="413"/>
      <c r="S670" s="413"/>
      <c r="T670" s="413"/>
      <c r="U670" s="413"/>
      <c r="V670" s="413"/>
      <c r="W670" s="413"/>
      <c r="X670" s="413"/>
      <c r="Y670" s="413"/>
      <c r="Z670" s="413"/>
    </row>
    <row r="671" ht="12.0" customHeight="1">
      <c r="A671" s="413"/>
      <c r="B671" s="413"/>
      <c r="C671" s="414"/>
      <c r="D671" s="413"/>
      <c r="E671" s="413"/>
      <c r="F671" s="413"/>
      <c r="G671" s="413"/>
      <c r="H671" s="413"/>
      <c r="I671" s="413"/>
      <c r="J671" s="413"/>
      <c r="K671" s="413"/>
      <c r="L671" s="413"/>
      <c r="M671" s="413"/>
      <c r="N671" s="413"/>
      <c r="O671" s="413"/>
      <c r="P671" s="413"/>
      <c r="Q671" s="413"/>
      <c r="R671" s="413"/>
      <c r="S671" s="413"/>
      <c r="T671" s="413"/>
      <c r="U671" s="413"/>
      <c r="V671" s="413"/>
      <c r="W671" s="413"/>
      <c r="X671" s="413"/>
      <c r="Y671" s="413"/>
      <c r="Z671" s="413"/>
    </row>
    <row r="672" ht="12.0" customHeight="1">
      <c r="A672" s="413"/>
      <c r="B672" s="413"/>
      <c r="C672" s="414"/>
      <c r="D672" s="413"/>
      <c r="E672" s="413"/>
      <c r="F672" s="413"/>
      <c r="G672" s="413"/>
      <c r="H672" s="413"/>
      <c r="I672" s="413"/>
      <c r="J672" s="413"/>
      <c r="K672" s="413"/>
      <c r="L672" s="413"/>
      <c r="M672" s="413"/>
      <c r="N672" s="413"/>
      <c r="O672" s="413"/>
      <c r="P672" s="413"/>
      <c r="Q672" s="413"/>
      <c r="R672" s="413"/>
      <c r="S672" s="413"/>
      <c r="T672" s="413"/>
      <c r="U672" s="413"/>
      <c r="V672" s="413"/>
      <c r="W672" s="413"/>
      <c r="X672" s="413"/>
      <c r="Y672" s="413"/>
      <c r="Z672" s="413"/>
    </row>
    <row r="673" ht="12.0" customHeight="1">
      <c r="A673" s="413"/>
      <c r="B673" s="413"/>
      <c r="C673" s="414"/>
      <c r="D673" s="413"/>
      <c r="E673" s="413"/>
      <c r="F673" s="413"/>
      <c r="G673" s="413"/>
      <c r="H673" s="413"/>
      <c r="I673" s="413"/>
      <c r="J673" s="413"/>
      <c r="K673" s="413"/>
      <c r="L673" s="413"/>
      <c r="M673" s="413"/>
      <c r="N673" s="413"/>
      <c r="O673" s="413"/>
      <c r="P673" s="413"/>
      <c r="Q673" s="413"/>
      <c r="R673" s="413"/>
      <c r="S673" s="413"/>
      <c r="T673" s="413"/>
      <c r="U673" s="413"/>
      <c r="V673" s="413"/>
      <c r="W673" s="413"/>
      <c r="X673" s="413"/>
      <c r="Y673" s="413"/>
      <c r="Z673" s="413"/>
    </row>
    <row r="674" ht="12.0" customHeight="1">
      <c r="A674" s="413"/>
      <c r="B674" s="413"/>
      <c r="C674" s="414"/>
      <c r="D674" s="413"/>
      <c r="E674" s="413"/>
      <c r="F674" s="413"/>
      <c r="G674" s="413"/>
      <c r="H674" s="413"/>
      <c r="I674" s="413"/>
      <c r="J674" s="413"/>
      <c r="K674" s="413"/>
      <c r="L674" s="413"/>
      <c r="M674" s="413"/>
      <c r="N674" s="413"/>
      <c r="O674" s="413"/>
      <c r="P674" s="413"/>
      <c r="Q674" s="413"/>
      <c r="R674" s="413"/>
      <c r="S674" s="413"/>
      <c r="T674" s="413"/>
      <c r="U674" s="413"/>
      <c r="V674" s="413"/>
      <c r="W674" s="413"/>
      <c r="X674" s="413"/>
      <c r="Y674" s="413"/>
      <c r="Z674" s="413"/>
    </row>
    <row r="675" ht="12.0" customHeight="1">
      <c r="A675" s="413"/>
      <c r="B675" s="413"/>
      <c r="C675" s="414"/>
      <c r="D675" s="413"/>
      <c r="E675" s="413"/>
      <c r="F675" s="413"/>
      <c r="G675" s="413"/>
      <c r="H675" s="413"/>
      <c r="I675" s="413"/>
      <c r="J675" s="413"/>
      <c r="K675" s="413"/>
      <c r="L675" s="413"/>
      <c r="M675" s="413"/>
      <c r="N675" s="413"/>
      <c r="O675" s="413"/>
      <c r="P675" s="413"/>
      <c r="Q675" s="413"/>
      <c r="R675" s="413"/>
      <c r="S675" s="413"/>
      <c r="T675" s="413"/>
      <c r="U675" s="413"/>
      <c r="V675" s="413"/>
      <c r="W675" s="413"/>
      <c r="X675" s="413"/>
      <c r="Y675" s="413"/>
      <c r="Z675" s="413"/>
    </row>
    <row r="676" ht="12.0" customHeight="1">
      <c r="A676" s="413"/>
      <c r="B676" s="413"/>
      <c r="C676" s="414"/>
      <c r="D676" s="413"/>
      <c r="E676" s="413"/>
      <c r="F676" s="413"/>
      <c r="G676" s="413"/>
      <c r="H676" s="413"/>
      <c r="I676" s="413"/>
      <c r="J676" s="413"/>
      <c r="K676" s="413"/>
      <c r="L676" s="413"/>
      <c r="M676" s="413"/>
      <c r="N676" s="413"/>
      <c r="O676" s="413"/>
      <c r="P676" s="413"/>
      <c r="Q676" s="413"/>
      <c r="R676" s="413"/>
      <c r="S676" s="413"/>
      <c r="T676" s="413"/>
      <c r="U676" s="413"/>
      <c r="V676" s="413"/>
      <c r="W676" s="413"/>
      <c r="X676" s="413"/>
      <c r="Y676" s="413"/>
      <c r="Z676" s="413"/>
    </row>
    <row r="677" ht="12.0" customHeight="1">
      <c r="A677" s="413"/>
      <c r="B677" s="413"/>
      <c r="C677" s="414"/>
      <c r="D677" s="413"/>
      <c r="E677" s="413"/>
      <c r="F677" s="413"/>
      <c r="G677" s="413"/>
      <c r="H677" s="413"/>
      <c r="I677" s="413"/>
      <c r="J677" s="413"/>
      <c r="K677" s="413"/>
      <c r="L677" s="413"/>
      <c r="M677" s="413"/>
      <c r="N677" s="413"/>
      <c r="O677" s="413"/>
      <c r="P677" s="413"/>
      <c r="Q677" s="413"/>
      <c r="R677" s="413"/>
      <c r="S677" s="413"/>
      <c r="T677" s="413"/>
      <c r="U677" s="413"/>
      <c r="V677" s="413"/>
      <c r="W677" s="413"/>
      <c r="X677" s="413"/>
      <c r="Y677" s="413"/>
      <c r="Z677" s="413"/>
    </row>
    <row r="678" ht="12.0" customHeight="1">
      <c r="A678" s="413"/>
      <c r="B678" s="413"/>
      <c r="C678" s="414"/>
      <c r="D678" s="413"/>
      <c r="E678" s="413"/>
      <c r="F678" s="413"/>
      <c r="G678" s="413"/>
      <c r="H678" s="413"/>
      <c r="I678" s="413"/>
      <c r="J678" s="413"/>
      <c r="K678" s="413"/>
      <c r="L678" s="413"/>
      <c r="M678" s="413"/>
      <c r="N678" s="413"/>
      <c r="O678" s="413"/>
      <c r="P678" s="413"/>
      <c r="Q678" s="413"/>
      <c r="R678" s="413"/>
      <c r="S678" s="413"/>
      <c r="T678" s="413"/>
      <c r="U678" s="413"/>
      <c r="V678" s="413"/>
      <c r="W678" s="413"/>
      <c r="X678" s="413"/>
      <c r="Y678" s="413"/>
      <c r="Z678" s="413"/>
    </row>
    <row r="679" ht="12.0" customHeight="1">
      <c r="A679" s="413"/>
      <c r="B679" s="413"/>
      <c r="C679" s="414"/>
      <c r="D679" s="413"/>
      <c r="E679" s="413"/>
      <c r="F679" s="413"/>
      <c r="G679" s="413"/>
      <c r="H679" s="413"/>
      <c r="I679" s="413"/>
      <c r="J679" s="413"/>
      <c r="K679" s="413"/>
      <c r="L679" s="413"/>
      <c r="M679" s="413"/>
      <c r="N679" s="413"/>
      <c r="O679" s="413"/>
      <c r="P679" s="413"/>
      <c r="Q679" s="413"/>
      <c r="R679" s="413"/>
      <c r="S679" s="413"/>
      <c r="T679" s="413"/>
      <c r="U679" s="413"/>
      <c r="V679" s="413"/>
      <c r="W679" s="413"/>
      <c r="X679" s="413"/>
      <c r="Y679" s="413"/>
      <c r="Z679" s="413"/>
    </row>
    <row r="680" ht="12.0" customHeight="1">
      <c r="A680" s="413"/>
      <c r="B680" s="413"/>
      <c r="C680" s="414"/>
      <c r="D680" s="413"/>
      <c r="E680" s="413"/>
      <c r="F680" s="413"/>
      <c r="G680" s="413"/>
      <c r="H680" s="413"/>
      <c r="I680" s="413"/>
      <c r="J680" s="413"/>
      <c r="K680" s="413"/>
      <c r="L680" s="413"/>
      <c r="M680" s="413"/>
      <c r="N680" s="413"/>
      <c r="O680" s="413"/>
      <c r="P680" s="413"/>
      <c r="Q680" s="413"/>
      <c r="R680" s="413"/>
      <c r="S680" s="413"/>
      <c r="T680" s="413"/>
      <c r="U680" s="413"/>
      <c r="V680" s="413"/>
      <c r="W680" s="413"/>
      <c r="X680" s="413"/>
      <c r="Y680" s="413"/>
      <c r="Z680" s="413"/>
    </row>
    <row r="681" ht="12.0" customHeight="1">
      <c r="A681" s="413"/>
      <c r="B681" s="413"/>
      <c r="C681" s="414"/>
      <c r="D681" s="413"/>
      <c r="E681" s="413"/>
      <c r="F681" s="413"/>
      <c r="G681" s="413"/>
      <c r="H681" s="413"/>
      <c r="I681" s="413"/>
      <c r="J681" s="413"/>
      <c r="K681" s="413"/>
      <c r="L681" s="413"/>
      <c r="M681" s="413"/>
      <c r="N681" s="413"/>
      <c r="O681" s="413"/>
      <c r="P681" s="413"/>
      <c r="Q681" s="413"/>
      <c r="R681" s="413"/>
      <c r="S681" s="413"/>
      <c r="T681" s="413"/>
      <c r="U681" s="413"/>
      <c r="V681" s="413"/>
      <c r="W681" s="413"/>
      <c r="X681" s="413"/>
      <c r="Y681" s="413"/>
      <c r="Z681" s="413"/>
    </row>
    <row r="682" ht="12.0" customHeight="1">
      <c r="A682" s="413"/>
      <c r="B682" s="413"/>
      <c r="C682" s="414"/>
      <c r="D682" s="413"/>
      <c r="E682" s="413"/>
      <c r="F682" s="413"/>
      <c r="G682" s="413"/>
      <c r="H682" s="413"/>
      <c r="I682" s="413"/>
      <c r="J682" s="413"/>
      <c r="K682" s="413"/>
      <c r="L682" s="413"/>
      <c r="M682" s="413"/>
      <c r="N682" s="413"/>
      <c r="O682" s="413"/>
      <c r="P682" s="413"/>
      <c r="Q682" s="413"/>
      <c r="R682" s="413"/>
      <c r="S682" s="413"/>
      <c r="T682" s="413"/>
      <c r="U682" s="413"/>
      <c r="V682" s="413"/>
      <c r="W682" s="413"/>
      <c r="X682" s="413"/>
      <c r="Y682" s="413"/>
      <c r="Z682" s="413"/>
    </row>
    <row r="683" ht="12.0" customHeight="1">
      <c r="A683" s="413"/>
      <c r="B683" s="413"/>
      <c r="C683" s="414"/>
      <c r="D683" s="413"/>
      <c r="E683" s="413"/>
      <c r="F683" s="413"/>
      <c r="G683" s="413"/>
      <c r="H683" s="413"/>
      <c r="I683" s="413"/>
      <c r="J683" s="413"/>
      <c r="K683" s="413"/>
      <c r="L683" s="413"/>
      <c r="M683" s="413"/>
      <c r="N683" s="413"/>
      <c r="O683" s="413"/>
      <c r="P683" s="413"/>
      <c r="Q683" s="413"/>
      <c r="R683" s="413"/>
      <c r="S683" s="413"/>
      <c r="T683" s="413"/>
      <c r="U683" s="413"/>
      <c r="V683" s="413"/>
      <c r="W683" s="413"/>
      <c r="X683" s="413"/>
      <c r="Y683" s="413"/>
      <c r="Z683" s="413"/>
    </row>
    <row r="684" ht="12.0" customHeight="1">
      <c r="A684" s="413"/>
      <c r="B684" s="413"/>
      <c r="C684" s="414"/>
      <c r="D684" s="413"/>
      <c r="E684" s="413"/>
      <c r="F684" s="413"/>
      <c r="G684" s="413"/>
      <c r="H684" s="413"/>
      <c r="I684" s="413"/>
      <c r="J684" s="413"/>
      <c r="K684" s="413"/>
      <c r="L684" s="413"/>
      <c r="M684" s="413"/>
      <c r="N684" s="413"/>
      <c r="O684" s="413"/>
      <c r="P684" s="413"/>
      <c r="Q684" s="413"/>
      <c r="R684" s="413"/>
      <c r="S684" s="413"/>
      <c r="T684" s="413"/>
      <c r="U684" s="413"/>
      <c r="V684" s="413"/>
      <c r="W684" s="413"/>
      <c r="X684" s="413"/>
      <c r="Y684" s="413"/>
      <c r="Z684" s="413"/>
    </row>
    <row r="685" ht="12.0" customHeight="1">
      <c r="A685" s="413"/>
      <c r="B685" s="413"/>
      <c r="C685" s="414"/>
      <c r="D685" s="413"/>
      <c r="E685" s="413"/>
      <c r="F685" s="413"/>
      <c r="G685" s="413"/>
      <c r="H685" s="413"/>
      <c r="I685" s="413"/>
      <c r="J685" s="413"/>
      <c r="K685" s="413"/>
      <c r="L685" s="413"/>
      <c r="M685" s="413"/>
      <c r="N685" s="413"/>
      <c r="O685" s="413"/>
      <c r="P685" s="413"/>
      <c r="Q685" s="413"/>
      <c r="R685" s="413"/>
      <c r="S685" s="413"/>
      <c r="T685" s="413"/>
      <c r="U685" s="413"/>
      <c r="V685" s="413"/>
      <c r="W685" s="413"/>
      <c r="X685" s="413"/>
      <c r="Y685" s="413"/>
      <c r="Z685" s="413"/>
    </row>
    <row r="686" ht="12.0" customHeight="1">
      <c r="A686" s="413"/>
      <c r="B686" s="413"/>
      <c r="C686" s="414"/>
      <c r="D686" s="413"/>
      <c r="E686" s="413"/>
      <c r="F686" s="413"/>
      <c r="G686" s="413"/>
      <c r="H686" s="413"/>
      <c r="I686" s="413"/>
      <c r="J686" s="413"/>
      <c r="K686" s="413"/>
      <c r="L686" s="413"/>
      <c r="M686" s="413"/>
      <c r="N686" s="413"/>
      <c r="O686" s="413"/>
      <c r="P686" s="413"/>
      <c r="Q686" s="413"/>
      <c r="R686" s="413"/>
      <c r="S686" s="413"/>
      <c r="T686" s="413"/>
      <c r="U686" s="413"/>
      <c r="V686" s="413"/>
      <c r="W686" s="413"/>
      <c r="X686" s="413"/>
      <c r="Y686" s="413"/>
      <c r="Z686" s="413"/>
    </row>
    <row r="687" ht="12.0" customHeight="1">
      <c r="A687" s="413"/>
      <c r="B687" s="413"/>
      <c r="C687" s="414"/>
      <c r="D687" s="413"/>
      <c r="E687" s="413"/>
      <c r="F687" s="413"/>
      <c r="G687" s="413"/>
      <c r="H687" s="413"/>
      <c r="I687" s="413"/>
      <c r="J687" s="413"/>
      <c r="K687" s="413"/>
      <c r="L687" s="413"/>
      <c r="M687" s="413"/>
      <c r="N687" s="413"/>
      <c r="O687" s="413"/>
      <c r="P687" s="413"/>
      <c r="Q687" s="413"/>
      <c r="R687" s="413"/>
      <c r="S687" s="413"/>
      <c r="T687" s="413"/>
      <c r="U687" s="413"/>
      <c r="V687" s="413"/>
      <c r="W687" s="413"/>
      <c r="X687" s="413"/>
      <c r="Y687" s="413"/>
      <c r="Z687" s="413"/>
    </row>
    <row r="688" ht="12.0" customHeight="1">
      <c r="A688" s="413"/>
      <c r="B688" s="413"/>
      <c r="C688" s="414"/>
      <c r="D688" s="413"/>
      <c r="E688" s="413"/>
      <c r="F688" s="413"/>
      <c r="G688" s="413"/>
      <c r="H688" s="413"/>
      <c r="I688" s="413"/>
      <c r="J688" s="413"/>
      <c r="K688" s="413"/>
      <c r="L688" s="413"/>
      <c r="M688" s="413"/>
      <c r="N688" s="413"/>
      <c r="O688" s="413"/>
      <c r="P688" s="413"/>
      <c r="Q688" s="413"/>
      <c r="R688" s="413"/>
      <c r="S688" s="413"/>
      <c r="T688" s="413"/>
      <c r="U688" s="413"/>
      <c r="V688" s="413"/>
      <c r="W688" s="413"/>
      <c r="X688" s="413"/>
      <c r="Y688" s="413"/>
      <c r="Z688" s="413"/>
    </row>
    <row r="689" ht="12.0" customHeight="1">
      <c r="A689" s="413"/>
      <c r="B689" s="413"/>
      <c r="C689" s="414"/>
      <c r="D689" s="413"/>
      <c r="E689" s="413"/>
      <c r="F689" s="413"/>
      <c r="G689" s="413"/>
      <c r="H689" s="413"/>
      <c r="I689" s="413"/>
      <c r="J689" s="413"/>
      <c r="K689" s="413"/>
      <c r="L689" s="413"/>
      <c r="M689" s="413"/>
      <c r="N689" s="413"/>
      <c r="O689" s="413"/>
      <c r="P689" s="413"/>
      <c r="Q689" s="413"/>
      <c r="R689" s="413"/>
      <c r="S689" s="413"/>
      <c r="T689" s="413"/>
      <c r="U689" s="413"/>
      <c r="V689" s="413"/>
      <c r="W689" s="413"/>
      <c r="X689" s="413"/>
      <c r="Y689" s="413"/>
      <c r="Z689" s="413"/>
    </row>
    <row r="690" ht="12.0" customHeight="1">
      <c r="A690" s="413"/>
      <c r="B690" s="413"/>
      <c r="C690" s="414"/>
      <c r="D690" s="413"/>
      <c r="E690" s="413"/>
      <c r="F690" s="413"/>
      <c r="G690" s="413"/>
      <c r="H690" s="413"/>
      <c r="I690" s="413"/>
      <c r="J690" s="413"/>
      <c r="K690" s="413"/>
      <c r="L690" s="413"/>
      <c r="M690" s="413"/>
      <c r="N690" s="413"/>
      <c r="O690" s="413"/>
      <c r="P690" s="413"/>
      <c r="Q690" s="413"/>
      <c r="R690" s="413"/>
      <c r="S690" s="413"/>
      <c r="T690" s="413"/>
      <c r="U690" s="413"/>
      <c r="V690" s="413"/>
      <c r="W690" s="413"/>
      <c r="X690" s="413"/>
      <c r="Y690" s="413"/>
      <c r="Z690" s="413"/>
    </row>
    <row r="691" ht="12.0" customHeight="1">
      <c r="A691" s="413"/>
      <c r="B691" s="413"/>
      <c r="C691" s="414"/>
      <c r="D691" s="413"/>
      <c r="E691" s="413"/>
      <c r="F691" s="413"/>
      <c r="G691" s="413"/>
      <c r="H691" s="413"/>
      <c r="I691" s="413"/>
      <c r="J691" s="413"/>
      <c r="K691" s="413"/>
      <c r="L691" s="413"/>
      <c r="M691" s="413"/>
      <c r="N691" s="413"/>
      <c r="O691" s="413"/>
      <c r="P691" s="413"/>
      <c r="Q691" s="413"/>
      <c r="R691" s="413"/>
      <c r="S691" s="413"/>
      <c r="T691" s="413"/>
      <c r="U691" s="413"/>
      <c r="V691" s="413"/>
      <c r="W691" s="413"/>
      <c r="X691" s="413"/>
      <c r="Y691" s="413"/>
      <c r="Z691" s="413"/>
    </row>
    <row r="692" ht="12.0" customHeight="1">
      <c r="A692" s="413"/>
      <c r="B692" s="413"/>
      <c r="C692" s="414"/>
      <c r="D692" s="413"/>
      <c r="E692" s="413"/>
      <c r="F692" s="413"/>
      <c r="G692" s="413"/>
      <c r="H692" s="413"/>
      <c r="I692" s="413"/>
      <c r="J692" s="413"/>
      <c r="K692" s="413"/>
      <c r="L692" s="413"/>
      <c r="M692" s="413"/>
      <c r="N692" s="413"/>
      <c r="O692" s="413"/>
      <c r="P692" s="413"/>
      <c r="Q692" s="413"/>
      <c r="R692" s="413"/>
      <c r="S692" s="413"/>
      <c r="T692" s="413"/>
      <c r="U692" s="413"/>
      <c r="V692" s="413"/>
      <c r="W692" s="413"/>
      <c r="X692" s="413"/>
      <c r="Y692" s="413"/>
      <c r="Z692" s="413"/>
    </row>
    <row r="693" ht="12.0" customHeight="1">
      <c r="A693" s="413"/>
      <c r="B693" s="413"/>
      <c r="C693" s="414"/>
      <c r="D693" s="413"/>
      <c r="E693" s="413"/>
      <c r="F693" s="413"/>
      <c r="G693" s="413"/>
      <c r="H693" s="413"/>
      <c r="I693" s="413"/>
      <c r="J693" s="413"/>
      <c r="K693" s="413"/>
      <c r="L693" s="413"/>
      <c r="M693" s="413"/>
      <c r="N693" s="413"/>
      <c r="O693" s="413"/>
      <c r="P693" s="413"/>
      <c r="Q693" s="413"/>
      <c r="R693" s="413"/>
      <c r="S693" s="413"/>
      <c r="T693" s="413"/>
      <c r="U693" s="413"/>
      <c r="V693" s="413"/>
      <c r="W693" s="413"/>
      <c r="X693" s="413"/>
      <c r="Y693" s="413"/>
      <c r="Z693" s="413"/>
    </row>
    <row r="694" ht="12.0" customHeight="1">
      <c r="A694" s="413"/>
      <c r="B694" s="413"/>
      <c r="C694" s="414"/>
      <c r="D694" s="413"/>
      <c r="E694" s="413"/>
      <c r="F694" s="413"/>
      <c r="G694" s="413"/>
      <c r="H694" s="413"/>
      <c r="I694" s="413"/>
      <c r="J694" s="413"/>
      <c r="K694" s="413"/>
      <c r="L694" s="413"/>
      <c r="M694" s="413"/>
      <c r="N694" s="413"/>
      <c r="O694" s="413"/>
      <c r="P694" s="413"/>
      <c r="Q694" s="413"/>
      <c r="R694" s="413"/>
      <c r="S694" s="413"/>
      <c r="T694" s="413"/>
      <c r="U694" s="413"/>
      <c r="V694" s="413"/>
      <c r="W694" s="413"/>
      <c r="X694" s="413"/>
      <c r="Y694" s="413"/>
      <c r="Z694" s="413"/>
    </row>
    <row r="695" ht="12.0" customHeight="1">
      <c r="A695" s="413"/>
      <c r="B695" s="413"/>
      <c r="C695" s="414"/>
      <c r="D695" s="413"/>
      <c r="E695" s="413"/>
      <c r="F695" s="413"/>
      <c r="G695" s="413"/>
      <c r="H695" s="413"/>
      <c r="I695" s="413"/>
      <c r="J695" s="413"/>
      <c r="K695" s="413"/>
      <c r="L695" s="413"/>
      <c r="M695" s="413"/>
      <c r="N695" s="413"/>
      <c r="O695" s="413"/>
      <c r="P695" s="413"/>
      <c r="Q695" s="413"/>
      <c r="R695" s="413"/>
      <c r="S695" s="413"/>
      <c r="T695" s="413"/>
      <c r="U695" s="413"/>
      <c r="V695" s="413"/>
      <c r="W695" s="413"/>
      <c r="X695" s="413"/>
      <c r="Y695" s="413"/>
      <c r="Z695" s="413"/>
    </row>
    <row r="696" ht="12.0" customHeight="1">
      <c r="A696" s="413"/>
      <c r="B696" s="413"/>
      <c r="C696" s="414"/>
      <c r="D696" s="413"/>
      <c r="E696" s="413"/>
      <c r="F696" s="413"/>
      <c r="G696" s="413"/>
      <c r="H696" s="413"/>
      <c r="I696" s="413"/>
      <c r="J696" s="413"/>
      <c r="K696" s="413"/>
      <c r="L696" s="413"/>
      <c r="M696" s="413"/>
      <c r="N696" s="413"/>
      <c r="O696" s="413"/>
      <c r="P696" s="413"/>
      <c r="Q696" s="413"/>
      <c r="R696" s="413"/>
      <c r="S696" s="413"/>
      <c r="T696" s="413"/>
      <c r="U696" s="413"/>
      <c r="V696" s="413"/>
      <c r="W696" s="413"/>
      <c r="X696" s="413"/>
      <c r="Y696" s="413"/>
      <c r="Z696" s="413"/>
    </row>
    <row r="697" ht="12.0" customHeight="1">
      <c r="A697" s="413"/>
      <c r="B697" s="413"/>
      <c r="C697" s="414"/>
      <c r="D697" s="413"/>
      <c r="E697" s="413"/>
      <c r="F697" s="413"/>
      <c r="G697" s="413"/>
      <c r="H697" s="413"/>
      <c r="I697" s="413"/>
      <c r="J697" s="413"/>
      <c r="K697" s="413"/>
      <c r="L697" s="413"/>
      <c r="M697" s="413"/>
      <c r="N697" s="413"/>
      <c r="O697" s="413"/>
      <c r="P697" s="413"/>
      <c r="Q697" s="413"/>
      <c r="R697" s="413"/>
      <c r="S697" s="413"/>
      <c r="T697" s="413"/>
      <c r="U697" s="413"/>
      <c r="V697" s="413"/>
      <c r="W697" s="413"/>
      <c r="X697" s="413"/>
      <c r="Y697" s="413"/>
      <c r="Z697" s="413"/>
    </row>
    <row r="698" ht="12.0" customHeight="1">
      <c r="A698" s="413"/>
      <c r="B698" s="413"/>
      <c r="C698" s="414"/>
      <c r="D698" s="413"/>
      <c r="E698" s="413"/>
      <c r="F698" s="413"/>
      <c r="G698" s="413"/>
      <c r="H698" s="413"/>
      <c r="I698" s="413"/>
      <c r="J698" s="413"/>
      <c r="K698" s="413"/>
      <c r="L698" s="413"/>
      <c r="M698" s="413"/>
      <c r="N698" s="413"/>
      <c r="O698" s="413"/>
      <c r="P698" s="413"/>
      <c r="Q698" s="413"/>
      <c r="R698" s="413"/>
      <c r="S698" s="413"/>
      <c r="T698" s="413"/>
      <c r="U698" s="413"/>
      <c r="V698" s="413"/>
      <c r="W698" s="413"/>
      <c r="X698" s="413"/>
      <c r="Y698" s="413"/>
      <c r="Z698" s="413"/>
    </row>
    <row r="699" ht="12.0" customHeight="1">
      <c r="A699" s="413"/>
      <c r="B699" s="413"/>
      <c r="C699" s="414"/>
      <c r="D699" s="413"/>
      <c r="E699" s="413"/>
      <c r="F699" s="413"/>
      <c r="G699" s="413"/>
      <c r="H699" s="413"/>
      <c r="I699" s="413"/>
      <c r="J699" s="413"/>
      <c r="K699" s="413"/>
      <c r="L699" s="413"/>
      <c r="M699" s="413"/>
      <c r="N699" s="413"/>
      <c r="O699" s="413"/>
      <c r="P699" s="413"/>
      <c r="Q699" s="413"/>
      <c r="R699" s="413"/>
      <c r="S699" s="413"/>
      <c r="T699" s="413"/>
      <c r="U699" s="413"/>
      <c r="V699" s="413"/>
      <c r="W699" s="413"/>
      <c r="X699" s="413"/>
      <c r="Y699" s="413"/>
      <c r="Z699" s="413"/>
    </row>
    <row r="700" ht="12.0" customHeight="1">
      <c r="A700" s="413"/>
      <c r="B700" s="413"/>
      <c r="C700" s="414"/>
      <c r="D700" s="413"/>
      <c r="E700" s="413"/>
      <c r="F700" s="413"/>
      <c r="G700" s="413"/>
      <c r="H700" s="413"/>
      <c r="I700" s="413"/>
      <c r="J700" s="413"/>
      <c r="K700" s="413"/>
      <c r="L700" s="413"/>
      <c r="M700" s="413"/>
      <c r="N700" s="413"/>
      <c r="O700" s="413"/>
      <c r="P700" s="413"/>
      <c r="Q700" s="413"/>
      <c r="R700" s="413"/>
      <c r="S700" s="413"/>
      <c r="T700" s="413"/>
      <c r="U700" s="413"/>
      <c r="V700" s="413"/>
      <c r="W700" s="413"/>
      <c r="X700" s="413"/>
      <c r="Y700" s="413"/>
      <c r="Z700" s="413"/>
    </row>
    <row r="701" ht="12.0" customHeight="1">
      <c r="A701" s="413"/>
      <c r="B701" s="413"/>
      <c r="C701" s="414"/>
      <c r="D701" s="413"/>
      <c r="E701" s="413"/>
      <c r="F701" s="413"/>
      <c r="G701" s="413"/>
      <c r="H701" s="413"/>
      <c r="I701" s="413"/>
      <c r="J701" s="413"/>
      <c r="K701" s="413"/>
      <c r="L701" s="413"/>
      <c r="M701" s="413"/>
      <c r="N701" s="413"/>
      <c r="O701" s="413"/>
      <c r="P701" s="413"/>
      <c r="Q701" s="413"/>
      <c r="R701" s="413"/>
      <c r="S701" s="413"/>
      <c r="T701" s="413"/>
      <c r="U701" s="413"/>
      <c r="V701" s="413"/>
      <c r="W701" s="413"/>
      <c r="X701" s="413"/>
      <c r="Y701" s="413"/>
      <c r="Z701" s="413"/>
    </row>
    <row r="702" ht="12.0" customHeight="1">
      <c r="A702" s="413"/>
      <c r="B702" s="413"/>
      <c r="C702" s="414"/>
      <c r="D702" s="413"/>
      <c r="E702" s="413"/>
      <c r="F702" s="413"/>
      <c r="G702" s="413"/>
      <c r="H702" s="413"/>
      <c r="I702" s="413"/>
      <c r="J702" s="413"/>
      <c r="K702" s="413"/>
      <c r="L702" s="413"/>
      <c r="M702" s="413"/>
      <c r="N702" s="413"/>
      <c r="O702" s="413"/>
      <c r="P702" s="413"/>
      <c r="Q702" s="413"/>
      <c r="R702" s="413"/>
      <c r="S702" s="413"/>
      <c r="T702" s="413"/>
      <c r="U702" s="413"/>
      <c r="V702" s="413"/>
      <c r="W702" s="413"/>
      <c r="X702" s="413"/>
      <c r="Y702" s="413"/>
      <c r="Z702" s="413"/>
    </row>
    <row r="703" ht="12.0" customHeight="1">
      <c r="A703" s="413"/>
      <c r="B703" s="413"/>
      <c r="C703" s="414"/>
      <c r="D703" s="413"/>
      <c r="E703" s="413"/>
      <c r="F703" s="413"/>
      <c r="G703" s="413"/>
      <c r="H703" s="413"/>
      <c r="I703" s="413"/>
      <c r="J703" s="413"/>
      <c r="K703" s="413"/>
      <c r="L703" s="413"/>
      <c r="M703" s="413"/>
      <c r="N703" s="413"/>
      <c r="O703" s="413"/>
      <c r="P703" s="413"/>
      <c r="Q703" s="413"/>
      <c r="R703" s="413"/>
      <c r="S703" s="413"/>
      <c r="T703" s="413"/>
      <c r="U703" s="413"/>
      <c r="V703" s="413"/>
      <c r="W703" s="413"/>
      <c r="X703" s="413"/>
      <c r="Y703" s="413"/>
      <c r="Z703" s="413"/>
    </row>
    <row r="704" ht="12.0" customHeight="1">
      <c r="A704" s="413"/>
      <c r="B704" s="413"/>
      <c r="C704" s="414"/>
      <c r="D704" s="413"/>
      <c r="E704" s="413"/>
      <c r="F704" s="413"/>
      <c r="G704" s="413"/>
      <c r="H704" s="413"/>
      <c r="I704" s="413"/>
      <c r="J704" s="413"/>
      <c r="K704" s="413"/>
      <c r="L704" s="413"/>
      <c r="M704" s="413"/>
      <c r="N704" s="413"/>
      <c r="O704" s="413"/>
      <c r="P704" s="413"/>
      <c r="Q704" s="413"/>
      <c r="R704" s="413"/>
      <c r="S704" s="413"/>
      <c r="T704" s="413"/>
      <c r="U704" s="413"/>
      <c r="V704" s="413"/>
      <c r="W704" s="413"/>
      <c r="X704" s="413"/>
      <c r="Y704" s="413"/>
      <c r="Z704" s="413"/>
    </row>
    <row r="705" ht="12.0" customHeight="1">
      <c r="A705" s="413"/>
      <c r="B705" s="413"/>
      <c r="C705" s="414"/>
      <c r="D705" s="413"/>
      <c r="E705" s="413"/>
      <c r="F705" s="413"/>
      <c r="G705" s="413"/>
      <c r="H705" s="413"/>
      <c r="I705" s="413"/>
      <c r="J705" s="413"/>
      <c r="K705" s="413"/>
      <c r="L705" s="413"/>
      <c r="M705" s="413"/>
      <c r="N705" s="413"/>
      <c r="O705" s="413"/>
      <c r="P705" s="413"/>
      <c r="Q705" s="413"/>
      <c r="R705" s="413"/>
      <c r="S705" s="413"/>
      <c r="T705" s="413"/>
      <c r="U705" s="413"/>
      <c r="V705" s="413"/>
      <c r="W705" s="413"/>
      <c r="X705" s="413"/>
      <c r="Y705" s="413"/>
      <c r="Z705" s="413"/>
    </row>
    <row r="706" ht="12.0" customHeight="1">
      <c r="A706" s="413"/>
      <c r="B706" s="413"/>
      <c r="C706" s="414"/>
      <c r="D706" s="413"/>
      <c r="E706" s="413"/>
      <c r="F706" s="413"/>
      <c r="G706" s="413"/>
      <c r="H706" s="413"/>
      <c r="I706" s="413"/>
      <c r="J706" s="413"/>
      <c r="K706" s="413"/>
      <c r="L706" s="413"/>
      <c r="M706" s="413"/>
      <c r="N706" s="413"/>
      <c r="O706" s="413"/>
      <c r="P706" s="413"/>
      <c r="Q706" s="413"/>
      <c r="R706" s="413"/>
      <c r="S706" s="413"/>
      <c r="T706" s="413"/>
      <c r="U706" s="413"/>
      <c r="V706" s="413"/>
      <c r="W706" s="413"/>
      <c r="X706" s="413"/>
      <c r="Y706" s="413"/>
      <c r="Z706" s="413"/>
    </row>
    <row r="707" ht="12.0" customHeight="1">
      <c r="A707" s="413"/>
      <c r="B707" s="413"/>
      <c r="C707" s="414"/>
      <c r="D707" s="413"/>
      <c r="E707" s="413"/>
      <c r="F707" s="413"/>
      <c r="G707" s="413"/>
      <c r="H707" s="413"/>
      <c r="I707" s="413"/>
      <c r="J707" s="413"/>
      <c r="K707" s="413"/>
      <c r="L707" s="413"/>
      <c r="M707" s="413"/>
      <c r="N707" s="413"/>
      <c r="O707" s="413"/>
      <c r="P707" s="413"/>
      <c r="Q707" s="413"/>
      <c r="R707" s="413"/>
      <c r="S707" s="413"/>
      <c r="T707" s="413"/>
      <c r="U707" s="413"/>
      <c r="V707" s="413"/>
      <c r="W707" s="413"/>
      <c r="X707" s="413"/>
      <c r="Y707" s="413"/>
      <c r="Z707" s="413"/>
    </row>
    <row r="708" ht="12.0" customHeight="1">
      <c r="A708" s="413"/>
      <c r="B708" s="413"/>
      <c r="C708" s="414"/>
      <c r="D708" s="413"/>
      <c r="E708" s="413"/>
      <c r="F708" s="413"/>
      <c r="G708" s="413"/>
      <c r="H708" s="413"/>
      <c r="I708" s="413"/>
      <c r="J708" s="413"/>
      <c r="K708" s="413"/>
      <c r="L708" s="413"/>
      <c r="M708" s="413"/>
      <c r="N708" s="413"/>
      <c r="O708" s="413"/>
      <c r="P708" s="413"/>
      <c r="Q708" s="413"/>
      <c r="R708" s="413"/>
      <c r="S708" s="413"/>
      <c r="T708" s="413"/>
      <c r="U708" s="413"/>
      <c r="V708" s="413"/>
      <c r="W708" s="413"/>
      <c r="X708" s="413"/>
      <c r="Y708" s="413"/>
      <c r="Z708" s="413"/>
    </row>
    <row r="709" ht="12.0" customHeight="1">
      <c r="A709" s="413"/>
      <c r="B709" s="413"/>
      <c r="C709" s="414"/>
      <c r="D709" s="413"/>
      <c r="E709" s="413"/>
      <c r="F709" s="413"/>
      <c r="G709" s="413"/>
      <c r="H709" s="413"/>
      <c r="I709" s="413"/>
      <c r="J709" s="413"/>
      <c r="K709" s="413"/>
      <c r="L709" s="413"/>
      <c r="M709" s="413"/>
      <c r="N709" s="413"/>
      <c r="O709" s="413"/>
      <c r="P709" s="413"/>
      <c r="Q709" s="413"/>
      <c r="R709" s="413"/>
      <c r="S709" s="413"/>
      <c r="T709" s="413"/>
      <c r="U709" s="413"/>
      <c r="V709" s="413"/>
      <c r="W709" s="413"/>
      <c r="X709" s="413"/>
      <c r="Y709" s="413"/>
      <c r="Z709" s="413"/>
    </row>
    <row r="710" ht="12.0" customHeight="1">
      <c r="A710" s="413"/>
      <c r="B710" s="413"/>
      <c r="C710" s="414"/>
      <c r="D710" s="413"/>
      <c r="E710" s="413"/>
      <c r="F710" s="413"/>
      <c r="G710" s="413"/>
      <c r="H710" s="413"/>
      <c r="I710" s="413"/>
      <c r="J710" s="413"/>
      <c r="K710" s="413"/>
      <c r="L710" s="413"/>
      <c r="M710" s="413"/>
      <c r="N710" s="413"/>
      <c r="O710" s="413"/>
      <c r="P710" s="413"/>
      <c r="Q710" s="413"/>
      <c r="R710" s="413"/>
      <c r="S710" s="413"/>
      <c r="T710" s="413"/>
      <c r="U710" s="413"/>
      <c r="V710" s="413"/>
      <c r="W710" s="413"/>
      <c r="X710" s="413"/>
      <c r="Y710" s="413"/>
      <c r="Z710" s="413"/>
    </row>
    <row r="711" ht="12.0" customHeight="1">
      <c r="A711" s="413"/>
      <c r="B711" s="413"/>
      <c r="C711" s="414"/>
      <c r="D711" s="413"/>
      <c r="E711" s="413"/>
      <c r="F711" s="413"/>
      <c r="G711" s="413"/>
      <c r="H711" s="413"/>
      <c r="I711" s="413"/>
      <c r="J711" s="413"/>
      <c r="K711" s="413"/>
      <c r="L711" s="413"/>
      <c r="M711" s="413"/>
      <c r="N711" s="413"/>
      <c r="O711" s="413"/>
      <c r="P711" s="413"/>
      <c r="Q711" s="413"/>
      <c r="R711" s="413"/>
      <c r="S711" s="413"/>
      <c r="T711" s="413"/>
      <c r="U711" s="413"/>
      <c r="V711" s="413"/>
      <c r="W711" s="413"/>
      <c r="X711" s="413"/>
      <c r="Y711" s="413"/>
      <c r="Z711" s="413"/>
    </row>
    <row r="712" ht="12.0" customHeight="1">
      <c r="A712" s="413"/>
      <c r="B712" s="413"/>
      <c r="C712" s="414"/>
      <c r="D712" s="413"/>
      <c r="E712" s="413"/>
      <c r="F712" s="413"/>
      <c r="G712" s="413"/>
      <c r="H712" s="413"/>
      <c r="I712" s="413"/>
      <c r="J712" s="413"/>
      <c r="K712" s="413"/>
      <c r="L712" s="413"/>
      <c r="M712" s="413"/>
      <c r="N712" s="413"/>
      <c r="O712" s="413"/>
      <c r="P712" s="413"/>
      <c r="Q712" s="413"/>
      <c r="R712" s="413"/>
      <c r="S712" s="413"/>
      <c r="T712" s="413"/>
      <c r="U712" s="413"/>
      <c r="V712" s="413"/>
      <c r="W712" s="413"/>
      <c r="X712" s="413"/>
      <c r="Y712" s="413"/>
      <c r="Z712" s="413"/>
    </row>
    <row r="713" ht="12.0" customHeight="1">
      <c r="A713" s="413"/>
      <c r="B713" s="413"/>
      <c r="C713" s="414"/>
      <c r="D713" s="413"/>
      <c r="E713" s="413"/>
      <c r="F713" s="413"/>
      <c r="G713" s="413"/>
      <c r="H713" s="413"/>
      <c r="I713" s="413"/>
      <c r="J713" s="413"/>
      <c r="K713" s="413"/>
      <c r="L713" s="413"/>
      <c r="M713" s="413"/>
      <c r="N713" s="413"/>
      <c r="O713" s="413"/>
      <c r="P713" s="413"/>
      <c r="Q713" s="413"/>
      <c r="R713" s="413"/>
      <c r="S713" s="413"/>
      <c r="T713" s="413"/>
      <c r="U713" s="413"/>
      <c r="V713" s="413"/>
      <c r="W713" s="413"/>
      <c r="X713" s="413"/>
      <c r="Y713" s="413"/>
      <c r="Z713" s="413"/>
    </row>
    <row r="714" ht="12.0" customHeight="1">
      <c r="A714" s="413"/>
      <c r="B714" s="413"/>
      <c r="C714" s="414"/>
      <c r="D714" s="413"/>
      <c r="E714" s="413"/>
      <c r="F714" s="413"/>
      <c r="G714" s="413"/>
      <c r="H714" s="413"/>
      <c r="I714" s="413"/>
      <c r="J714" s="413"/>
      <c r="K714" s="413"/>
      <c r="L714" s="413"/>
      <c r="M714" s="413"/>
      <c r="N714" s="413"/>
      <c r="O714" s="413"/>
      <c r="P714" s="413"/>
      <c r="Q714" s="413"/>
      <c r="R714" s="413"/>
      <c r="S714" s="413"/>
      <c r="T714" s="413"/>
      <c r="U714" s="413"/>
      <c r="V714" s="413"/>
      <c r="W714" s="413"/>
      <c r="X714" s="413"/>
      <c r="Y714" s="413"/>
      <c r="Z714" s="413"/>
    </row>
    <row r="715" ht="12.0" customHeight="1">
      <c r="A715" s="413"/>
      <c r="B715" s="413"/>
      <c r="C715" s="414"/>
      <c r="D715" s="413"/>
      <c r="E715" s="413"/>
      <c r="F715" s="413"/>
      <c r="G715" s="413"/>
      <c r="H715" s="413"/>
      <c r="I715" s="413"/>
      <c r="J715" s="413"/>
      <c r="K715" s="413"/>
      <c r="L715" s="413"/>
      <c r="M715" s="413"/>
      <c r="N715" s="413"/>
      <c r="O715" s="413"/>
      <c r="P715" s="413"/>
      <c r="Q715" s="413"/>
      <c r="R715" s="413"/>
      <c r="S715" s="413"/>
      <c r="T715" s="413"/>
      <c r="U715" s="413"/>
      <c r="V715" s="413"/>
      <c r="W715" s="413"/>
      <c r="X715" s="413"/>
      <c r="Y715" s="413"/>
      <c r="Z715" s="413"/>
    </row>
    <row r="716" ht="12.0" customHeight="1">
      <c r="A716" s="413"/>
      <c r="B716" s="413"/>
      <c r="C716" s="414"/>
      <c r="D716" s="413"/>
      <c r="E716" s="413"/>
      <c r="F716" s="413"/>
      <c r="G716" s="413"/>
      <c r="H716" s="413"/>
      <c r="I716" s="413"/>
      <c r="J716" s="413"/>
      <c r="K716" s="413"/>
      <c r="L716" s="413"/>
      <c r="M716" s="413"/>
      <c r="N716" s="413"/>
      <c r="O716" s="413"/>
      <c r="P716" s="413"/>
      <c r="Q716" s="413"/>
      <c r="R716" s="413"/>
      <c r="S716" s="413"/>
      <c r="T716" s="413"/>
      <c r="U716" s="413"/>
      <c r="V716" s="413"/>
      <c r="W716" s="413"/>
      <c r="X716" s="413"/>
      <c r="Y716" s="413"/>
      <c r="Z716" s="413"/>
    </row>
    <row r="717" ht="12.0" customHeight="1">
      <c r="A717" s="413"/>
      <c r="B717" s="413"/>
      <c r="C717" s="414"/>
      <c r="D717" s="413"/>
      <c r="E717" s="413"/>
      <c r="F717" s="413"/>
      <c r="G717" s="413"/>
      <c r="H717" s="413"/>
      <c r="I717" s="413"/>
      <c r="J717" s="413"/>
      <c r="K717" s="413"/>
      <c r="L717" s="413"/>
      <c r="M717" s="413"/>
      <c r="N717" s="413"/>
      <c r="O717" s="413"/>
      <c r="P717" s="413"/>
      <c r="Q717" s="413"/>
      <c r="R717" s="413"/>
      <c r="S717" s="413"/>
      <c r="T717" s="413"/>
      <c r="U717" s="413"/>
      <c r="V717" s="413"/>
      <c r="W717" s="413"/>
      <c r="X717" s="413"/>
      <c r="Y717" s="413"/>
      <c r="Z717" s="413"/>
    </row>
    <row r="718" ht="12.0" customHeight="1">
      <c r="A718" s="413"/>
      <c r="B718" s="413"/>
      <c r="C718" s="414"/>
      <c r="D718" s="413"/>
      <c r="E718" s="413"/>
      <c r="F718" s="413"/>
      <c r="G718" s="413"/>
      <c r="H718" s="413"/>
      <c r="I718" s="413"/>
      <c r="J718" s="413"/>
      <c r="K718" s="413"/>
      <c r="L718" s="413"/>
      <c r="M718" s="413"/>
      <c r="N718" s="413"/>
      <c r="O718" s="413"/>
      <c r="P718" s="413"/>
      <c r="Q718" s="413"/>
      <c r="R718" s="413"/>
      <c r="S718" s="413"/>
      <c r="T718" s="413"/>
      <c r="U718" s="413"/>
      <c r="V718" s="413"/>
      <c r="W718" s="413"/>
      <c r="X718" s="413"/>
      <c r="Y718" s="413"/>
      <c r="Z718" s="413"/>
    </row>
    <row r="719" ht="12.0" customHeight="1">
      <c r="A719" s="413"/>
      <c r="B719" s="413"/>
      <c r="C719" s="414"/>
      <c r="D719" s="413"/>
      <c r="E719" s="413"/>
      <c r="F719" s="413"/>
      <c r="G719" s="413"/>
      <c r="H719" s="413"/>
      <c r="I719" s="413"/>
      <c r="J719" s="413"/>
      <c r="K719" s="413"/>
      <c r="L719" s="413"/>
      <c r="M719" s="413"/>
      <c r="N719" s="413"/>
      <c r="O719" s="413"/>
      <c r="P719" s="413"/>
      <c r="Q719" s="413"/>
      <c r="R719" s="413"/>
      <c r="S719" s="413"/>
      <c r="T719" s="413"/>
      <c r="U719" s="413"/>
      <c r="V719" s="413"/>
      <c r="W719" s="413"/>
      <c r="X719" s="413"/>
      <c r="Y719" s="413"/>
      <c r="Z719" s="413"/>
    </row>
    <row r="720" ht="12.0" customHeight="1">
      <c r="A720" s="413"/>
      <c r="B720" s="413"/>
      <c r="C720" s="414"/>
      <c r="D720" s="413"/>
      <c r="E720" s="413"/>
      <c r="F720" s="413"/>
      <c r="G720" s="413"/>
      <c r="H720" s="413"/>
      <c r="I720" s="413"/>
      <c r="J720" s="413"/>
      <c r="K720" s="413"/>
      <c r="L720" s="413"/>
      <c r="M720" s="413"/>
      <c r="N720" s="413"/>
      <c r="O720" s="413"/>
      <c r="P720" s="413"/>
      <c r="Q720" s="413"/>
      <c r="R720" s="413"/>
      <c r="S720" s="413"/>
      <c r="T720" s="413"/>
      <c r="U720" s="413"/>
      <c r="V720" s="413"/>
      <c r="W720" s="413"/>
      <c r="X720" s="413"/>
      <c r="Y720" s="413"/>
      <c r="Z720" s="413"/>
    </row>
    <row r="721" ht="12.0" customHeight="1">
      <c r="A721" s="413"/>
      <c r="B721" s="413"/>
      <c r="C721" s="414"/>
      <c r="D721" s="413"/>
      <c r="E721" s="413"/>
      <c r="F721" s="413"/>
      <c r="G721" s="413"/>
      <c r="H721" s="413"/>
      <c r="I721" s="413"/>
      <c r="J721" s="413"/>
      <c r="K721" s="413"/>
      <c r="L721" s="413"/>
      <c r="M721" s="413"/>
      <c r="N721" s="413"/>
      <c r="O721" s="413"/>
      <c r="P721" s="413"/>
      <c r="Q721" s="413"/>
      <c r="R721" s="413"/>
      <c r="S721" s="413"/>
      <c r="T721" s="413"/>
      <c r="U721" s="413"/>
      <c r="V721" s="413"/>
      <c r="W721" s="413"/>
      <c r="X721" s="413"/>
      <c r="Y721" s="413"/>
      <c r="Z721" s="413"/>
    </row>
    <row r="722" ht="12.0" customHeight="1">
      <c r="A722" s="413"/>
      <c r="B722" s="413"/>
      <c r="C722" s="414"/>
      <c r="D722" s="413"/>
      <c r="E722" s="413"/>
      <c r="F722" s="413"/>
      <c r="G722" s="413"/>
      <c r="H722" s="413"/>
      <c r="I722" s="413"/>
      <c r="J722" s="413"/>
      <c r="K722" s="413"/>
      <c r="L722" s="413"/>
      <c r="M722" s="413"/>
      <c r="N722" s="413"/>
      <c r="O722" s="413"/>
      <c r="P722" s="413"/>
      <c r="Q722" s="413"/>
      <c r="R722" s="413"/>
      <c r="S722" s="413"/>
      <c r="T722" s="413"/>
      <c r="U722" s="413"/>
      <c r="V722" s="413"/>
      <c r="W722" s="413"/>
      <c r="X722" s="413"/>
      <c r="Y722" s="413"/>
      <c r="Z722" s="413"/>
    </row>
    <row r="723" ht="12.0" customHeight="1">
      <c r="A723" s="413"/>
      <c r="B723" s="413"/>
      <c r="C723" s="414"/>
      <c r="D723" s="413"/>
      <c r="E723" s="413"/>
      <c r="F723" s="413"/>
      <c r="G723" s="413"/>
      <c r="H723" s="413"/>
      <c r="I723" s="413"/>
      <c r="J723" s="413"/>
      <c r="K723" s="413"/>
      <c r="L723" s="413"/>
      <c r="M723" s="413"/>
      <c r="N723" s="413"/>
      <c r="O723" s="413"/>
      <c r="P723" s="413"/>
      <c r="Q723" s="413"/>
      <c r="R723" s="413"/>
      <c r="S723" s="413"/>
      <c r="T723" s="413"/>
      <c r="U723" s="413"/>
      <c r="V723" s="413"/>
      <c r="W723" s="413"/>
      <c r="X723" s="413"/>
      <c r="Y723" s="413"/>
      <c r="Z723" s="413"/>
    </row>
    <row r="724" ht="12.0" customHeight="1">
      <c r="A724" s="413"/>
      <c r="B724" s="413"/>
      <c r="C724" s="414"/>
      <c r="D724" s="413"/>
      <c r="E724" s="413"/>
      <c r="F724" s="413"/>
      <c r="G724" s="413"/>
      <c r="H724" s="413"/>
      <c r="I724" s="413"/>
      <c r="J724" s="413"/>
      <c r="K724" s="413"/>
      <c r="L724" s="413"/>
      <c r="M724" s="413"/>
      <c r="N724" s="413"/>
      <c r="O724" s="413"/>
      <c r="P724" s="413"/>
      <c r="Q724" s="413"/>
      <c r="R724" s="413"/>
      <c r="S724" s="413"/>
      <c r="T724" s="413"/>
      <c r="U724" s="413"/>
      <c r="V724" s="413"/>
      <c r="W724" s="413"/>
      <c r="X724" s="413"/>
      <c r="Y724" s="413"/>
      <c r="Z724" s="413"/>
    </row>
    <row r="725" ht="12.0" customHeight="1">
      <c r="A725" s="413"/>
      <c r="B725" s="413"/>
      <c r="C725" s="414"/>
      <c r="D725" s="413"/>
      <c r="E725" s="413"/>
      <c r="F725" s="413"/>
      <c r="G725" s="413"/>
      <c r="H725" s="413"/>
      <c r="I725" s="413"/>
      <c r="J725" s="413"/>
      <c r="K725" s="413"/>
      <c r="L725" s="413"/>
      <c r="M725" s="413"/>
      <c r="N725" s="413"/>
      <c r="O725" s="413"/>
      <c r="P725" s="413"/>
      <c r="Q725" s="413"/>
      <c r="R725" s="413"/>
      <c r="S725" s="413"/>
      <c r="T725" s="413"/>
      <c r="U725" s="413"/>
      <c r="V725" s="413"/>
      <c r="W725" s="413"/>
      <c r="X725" s="413"/>
      <c r="Y725" s="413"/>
      <c r="Z725" s="413"/>
    </row>
    <row r="726" ht="12.0" customHeight="1">
      <c r="A726" s="413"/>
      <c r="B726" s="413"/>
      <c r="C726" s="414"/>
      <c r="D726" s="413"/>
      <c r="E726" s="413"/>
      <c r="F726" s="413"/>
      <c r="G726" s="413"/>
      <c r="H726" s="413"/>
      <c r="I726" s="413"/>
      <c r="J726" s="413"/>
      <c r="K726" s="413"/>
      <c r="L726" s="413"/>
      <c r="M726" s="413"/>
      <c r="N726" s="413"/>
      <c r="O726" s="413"/>
      <c r="P726" s="413"/>
      <c r="Q726" s="413"/>
      <c r="R726" s="413"/>
      <c r="S726" s="413"/>
      <c r="T726" s="413"/>
      <c r="U726" s="413"/>
      <c r="V726" s="413"/>
      <c r="W726" s="413"/>
      <c r="X726" s="413"/>
      <c r="Y726" s="413"/>
      <c r="Z726" s="413"/>
    </row>
    <row r="727" ht="12.0" customHeight="1">
      <c r="A727" s="413"/>
      <c r="B727" s="413"/>
      <c r="C727" s="414"/>
      <c r="D727" s="413"/>
      <c r="E727" s="413"/>
      <c r="F727" s="413"/>
      <c r="G727" s="413"/>
      <c r="H727" s="413"/>
      <c r="I727" s="413"/>
      <c r="J727" s="413"/>
      <c r="K727" s="413"/>
      <c r="L727" s="413"/>
      <c r="M727" s="413"/>
      <c r="N727" s="413"/>
      <c r="O727" s="413"/>
      <c r="P727" s="413"/>
      <c r="Q727" s="413"/>
      <c r="R727" s="413"/>
      <c r="S727" s="413"/>
      <c r="T727" s="413"/>
      <c r="U727" s="413"/>
      <c r="V727" s="413"/>
      <c r="W727" s="413"/>
      <c r="X727" s="413"/>
      <c r="Y727" s="413"/>
      <c r="Z727" s="413"/>
    </row>
    <row r="728" ht="12.0" customHeight="1">
      <c r="A728" s="413"/>
      <c r="B728" s="413"/>
      <c r="C728" s="414"/>
      <c r="D728" s="413"/>
      <c r="E728" s="413"/>
      <c r="F728" s="413"/>
      <c r="G728" s="413"/>
      <c r="H728" s="413"/>
      <c r="I728" s="413"/>
      <c r="J728" s="413"/>
      <c r="K728" s="413"/>
      <c r="L728" s="413"/>
      <c r="M728" s="413"/>
      <c r="N728" s="413"/>
      <c r="O728" s="413"/>
      <c r="P728" s="413"/>
      <c r="Q728" s="413"/>
      <c r="R728" s="413"/>
      <c r="S728" s="413"/>
      <c r="T728" s="413"/>
      <c r="U728" s="413"/>
      <c r="V728" s="413"/>
      <c r="W728" s="413"/>
      <c r="X728" s="413"/>
      <c r="Y728" s="413"/>
      <c r="Z728" s="413"/>
    </row>
    <row r="729" ht="12.0" customHeight="1">
      <c r="A729" s="413"/>
      <c r="B729" s="413"/>
      <c r="C729" s="414"/>
      <c r="D729" s="413"/>
      <c r="E729" s="413"/>
      <c r="F729" s="413"/>
      <c r="G729" s="413"/>
      <c r="H729" s="413"/>
      <c r="I729" s="413"/>
      <c r="J729" s="413"/>
      <c r="K729" s="413"/>
      <c r="L729" s="413"/>
      <c r="M729" s="413"/>
      <c r="N729" s="413"/>
      <c r="O729" s="413"/>
      <c r="P729" s="413"/>
      <c r="Q729" s="413"/>
      <c r="R729" s="413"/>
      <c r="S729" s="413"/>
      <c r="T729" s="413"/>
      <c r="U729" s="413"/>
      <c r="V729" s="413"/>
      <c r="W729" s="413"/>
      <c r="X729" s="413"/>
      <c r="Y729" s="413"/>
      <c r="Z729" s="413"/>
    </row>
    <row r="730" ht="12.0" customHeight="1">
      <c r="A730" s="413"/>
      <c r="B730" s="413"/>
      <c r="C730" s="414"/>
      <c r="D730" s="413"/>
      <c r="E730" s="413"/>
      <c r="F730" s="413"/>
      <c r="G730" s="413"/>
      <c r="H730" s="413"/>
      <c r="I730" s="413"/>
      <c r="J730" s="413"/>
      <c r="K730" s="413"/>
      <c r="L730" s="413"/>
      <c r="M730" s="413"/>
      <c r="N730" s="413"/>
      <c r="O730" s="413"/>
      <c r="P730" s="413"/>
      <c r="Q730" s="413"/>
      <c r="R730" s="413"/>
      <c r="S730" s="413"/>
      <c r="T730" s="413"/>
      <c r="U730" s="413"/>
      <c r="V730" s="413"/>
      <c r="W730" s="413"/>
      <c r="X730" s="413"/>
      <c r="Y730" s="413"/>
      <c r="Z730" s="413"/>
    </row>
    <row r="731" ht="12.0" customHeight="1">
      <c r="A731" s="413"/>
      <c r="B731" s="413"/>
      <c r="C731" s="414"/>
      <c r="D731" s="413"/>
      <c r="E731" s="413"/>
      <c r="F731" s="413"/>
      <c r="G731" s="413"/>
      <c r="H731" s="413"/>
      <c r="I731" s="413"/>
      <c r="J731" s="413"/>
      <c r="K731" s="413"/>
      <c r="L731" s="413"/>
      <c r="M731" s="413"/>
      <c r="N731" s="413"/>
      <c r="O731" s="413"/>
      <c r="P731" s="413"/>
      <c r="Q731" s="413"/>
      <c r="R731" s="413"/>
      <c r="S731" s="413"/>
      <c r="T731" s="413"/>
      <c r="U731" s="413"/>
      <c r="V731" s="413"/>
      <c r="W731" s="413"/>
      <c r="X731" s="413"/>
      <c r="Y731" s="413"/>
      <c r="Z731" s="413"/>
    </row>
    <row r="732" ht="12.0" customHeight="1">
      <c r="A732" s="413"/>
      <c r="B732" s="413"/>
      <c r="C732" s="414"/>
      <c r="D732" s="413"/>
      <c r="E732" s="413"/>
      <c r="F732" s="413"/>
      <c r="G732" s="413"/>
      <c r="H732" s="413"/>
      <c r="I732" s="413"/>
      <c r="J732" s="413"/>
      <c r="K732" s="413"/>
      <c r="L732" s="413"/>
      <c r="M732" s="413"/>
      <c r="N732" s="413"/>
      <c r="O732" s="413"/>
      <c r="P732" s="413"/>
      <c r="Q732" s="413"/>
      <c r="R732" s="413"/>
      <c r="S732" s="413"/>
      <c r="T732" s="413"/>
      <c r="U732" s="413"/>
      <c r="V732" s="413"/>
      <c r="W732" s="413"/>
      <c r="X732" s="413"/>
      <c r="Y732" s="413"/>
      <c r="Z732" s="413"/>
    </row>
    <row r="733" ht="12.0" customHeight="1">
      <c r="A733" s="413"/>
      <c r="B733" s="413"/>
      <c r="C733" s="414"/>
      <c r="D733" s="413"/>
      <c r="E733" s="413"/>
      <c r="F733" s="413"/>
      <c r="G733" s="413"/>
      <c r="H733" s="413"/>
      <c r="I733" s="413"/>
      <c r="J733" s="413"/>
      <c r="K733" s="413"/>
      <c r="L733" s="413"/>
      <c r="M733" s="413"/>
      <c r="N733" s="413"/>
      <c r="O733" s="413"/>
      <c r="P733" s="413"/>
      <c r="Q733" s="413"/>
      <c r="R733" s="413"/>
      <c r="S733" s="413"/>
      <c r="T733" s="413"/>
      <c r="U733" s="413"/>
      <c r="V733" s="413"/>
      <c r="W733" s="413"/>
      <c r="X733" s="413"/>
      <c r="Y733" s="413"/>
      <c r="Z733" s="413"/>
    </row>
    <row r="734" ht="12.0" customHeight="1">
      <c r="A734" s="413"/>
      <c r="B734" s="413"/>
      <c r="C734" s="414"/>
      <c r="D734" s="413"/>
      <c r="E734" s="413"/>
      <c r="F734" s="413"/>
      <c r="G734" s="413"/>
      <c r="H734" s="413"/>
      <c r="I734" s="413"/>
      <c r="J734" s="413"/>
      <c r="K734" s="413"/>
      <c r="L734" s="413"/>
      <c r="M734" s="413"/>
      <c r="N734" s="413"/>
      <c r="O734" s="413"/>
      <c r="P734" s="413"/>
      <c r="Q734" s="413"/>
      <c r="R734" s="413"/>
      <c r="S734" s="413"/>
      <c r="T734" s="413"/>
      <c r="U734" s="413"/>
      <c r="V734" s="413"/>
      <c r="W734" s="413"/>
      <c r="X734" s="413"/>
      <c r="Y734" s="413"/>
      <c r="Z734" s="413"/>
    </row>
    <row r="735" ht="12.0" customHeight="1">
      <c r="A735" s="413"/>
      <c r="B735" s="413"/>
      <c r="C735" s="414"/>
      <c r="D735" s="413"/>
      <c r="E735" s="413"/>
      <c r="F735" s="413"/>
      <c r="G735" s="413"/>
      <c r="H735" s="413"/>
      <c r="I735" s="413"/>
      <c r="J735" s="413"/>
      <c r="K735" s="413"/>
      <c r="L735" s="413"/>
      <c r="M735" s="413"/>
      <c r="N735" s="413"/>
      <c r="O735" s="413"/>
      <c r="P735" s="413"/>
      <c r="Q735" s="413"/>
      <c r="R735" s="413"/>
      <c r="S735" s="413"/>
      <c r="T735" s="413"/>
      <c r="U735" s="413"/>
      <c r="V735" s="413"/>
      <c r="W735" s="413"/>
      <c r="X735" s="413"/>
      <c r="Y735" s="413"/>
      <c r="Z735" s="413"/>
    </row>
    <row r="736" ht="12.0" customHeight="1">
      <c r="A736" s="413"/>
      <c r="B736" s="413"/>
      <c r="C736" s="414"/>
      <c r="D736" s="413"/>
      <c r="E736" s="413"/>
      <c r="F736" s="413"/>
      <c r="G736" s="413"/>
      <c r="H736" s="413"/>
      <c r="I736" s="413"/>
      <c r="J736" s="413"/>
      <c r="K736" s="413"/>
      <c r="L736" s="413"/>
      <c r="M736" s="413"/>
      <c r="N736" s="413"/>
      <c r="O736" s="413"/>
      <c r="P736" s="413"/>
      <c r="Q736" s="413"/>
      <c r="R736" s="413"/>
      <c r="S736" s="413"/>
      <c r="T736" s="413"/>
      <c r="U736" s="413"/>
      <c r="V736" s="413"/>
      <c r="W736" s="413"/>
      <c r="X736" s="413"/>
      <c r="Y736" s="413"/>
      <c r="Z736" s="413"/>
    </row>
    <row r="737" ht="12.0" customHeight="1">
      <c r="A737" s="413"/>
      <c r="B737" s="413"/>
      <c r="C737" s="414"/>
      <c r="D737" s="413"/>
      <c r="E737" s="413"/>
      <c r="F737" s="413"/>
      <c r="G737" s="413"/>
      <c r="H737" s="413"/>
      <c r="I737" s="413"/>
      <c r="J737" s="413"/>
      <c r="K737" s="413"/>
      <c r="L737" s="413"/>
      <c r="M737" s="413"/>
      <c r="N737" s="413"/>
      <c r="O737" s="413"/>
      <c r="P737" s="413"/>
      <c r="Q737" s="413"/>
      <c r="R737" s="413"/>
      <c r="S737" s="413"/>
      <c r="T737" s="413"/>
      <c r="U737" s="413"/>
      <c r="V737" s="413"/>
      <c r="W737" s="413"/>
      <c r="X737" s="413"/>
      <c r="Y737" s="413"/>
      <c r="Z737" s="413"/>
    </row>
    <row r="738" ht="12.0" customHeight="1">
      <c r="A738" s="413"/>
      <c r="B738" s="413"/>
      <c r="C738" s="414"/>
      <c r="D738" s="413"/>
      <c r="E738" s="413"/>
      <c r="F738" s="413"/>
      <c r="G738" s="413"/>
      <c r="H738" s="413"/>
      <c r="I738" s="413"/>
      <c r="J738" s="413"/>
      <c r="K738" s="413"/>
      <c r="L738" s="413"/>
      <c r="M738" s="413"/>
      <c r="N738" s="413"/>
      <c r="O738" s="413"/>
      <c r="P738" s="413"/>
      <c r="Q738" s="413"/>
      <c r="R738" s="413"/>
      <c r="S738" s="413"/>
      <c r="T738" s="413"/>
      <c r="U738" s="413"/>
      <c r="V738" s="413"/>
      <c r="W738" s="413"/>
      <c r="X738" s="413"/>
      <c r="Y738" s="413"/>
      <c r="Z738" s="413"/>
    </row>
    <row r="739" ht="12.0" customHeight="1">
      <c r="A739" s="413"/>
      <c r="B739" s="413"/>
      <c r="C739" s="414"/>
      <c r="D739" s="413"/>
      <c r="E739" s="413"/>
      <c r="F739" s="413"/>
      <c r="G739" s="413"/>
      <c r="H739" s="413"/>
      <c r="I739" s="413"/>
      <c r="J739" s="413"/>
      <c r="K739" s="413"/>
      <c r="L739" s="413"/>
      <c r="M739" s="413"/>
      <c r="N739" s="413"/>
      <c r="O739" s="413"/>
      <c r="P739" s="413"/>
      <c r="Q739" s="413"/>
      <c r="R739" s="413"/>
      <c r="S739" s="413"/>
      <c r="T739" s="413"/>
      <c r="U739" s="413"/>
      <c r="V739" s="413"/>
      <c r="W739" s="413"/>
      <c r="X739" s="413"/>
      <c r="Y739" s="413"/>
      <c r="Z739" s="413"/>
    </row>
    <row r="740" ht="12.0" customHeight="1">
      <c r="A740" s="413"/>
      <c r="B740" s="413"/>
      <c r="C740" s="414"/>
      <c r="D740" s="413"/>
      <c r="E740" s="413"/>
      <c r="F740" s="413"/>
      <c r="G740" s="413"/>
      <c r="H740" s="413"/>
      <c r="I740" s="413"/>
      <c r="J740" s="413"/>
      <c r="K740" s="413"/>
      <c r="L740" s="413"/>
      <c r="M740" s="413"/>
      <c r="N740" s="413"/>
      <c r="O740" s="413"/>
      <c r="P740" s="413"/>
      <c r="Q740" s="413"/>
      <c r="R740" s="413"/>
      <c r="S740" s="413"/>
      <c r="T740" s="413"/>
      <c r="U740" s="413"/>
      <c r="V740" s="413"/>
      <c r="W740" s="413"/>
      <c r="X740" s="413"/>
      <c r="Y740" s="413"/>
      <c r="Z740" s="413"/>
    </row>
    <row r="741" ht="12.0" customHeight="1">
      <c r="A741" s="413"/>
      <c r="B741" s="413"/>
      <c r="C741" s="414"/>
      <c r="D741" s="413"/>
      <c r="E741" s="413"/>
      <c r="F741" s="413"/>
      <c r="G741" s="413"/>
      <c r="H741" s="413"/>
      <c r="I741" s="413"/>
      <c r="J741" s="413"/>
      <c r="K741" s="413"/>
      <c r="L741" s="413"/>
      <c r="M741" s="413"/>
      <c r="N741" s="413"/>
      <c r="O741" s="413"/>
      <c r="P741" s="413"/>
      <c r="Q741" s="413"/>
      <c r="R741" s="413"/>
      <c r="S741" s="413"/>
      <c r="T741" s="413"/>
      <c r="U741" s="413"/>
      <c r="V741" s="413"/>
      <c r="W741" s="413"/>
      <c r="X741" s="413"/>
      <c r="Y741" s="413"/>
      <c r="Z741" s="413"/>
    </row>
    <row r="742" ht="12.0" customHeight="1">
      <c r="A742" s="413"/>
      <c r="B742" s="413"/>
      <c r="C742" s="414"/>
      <c r="D742" s="413"/>
      <c r="E742" s="413"/>
      <c r="F742" s="413"/>
      <c r="G742" s="413"/>
      <c r="H742" s="413"/>
      <c r="I742" s="413"/>
      <c r="J742" s="413"/>
      <c r="K742" s="413"/>
      <c r="L742" s="413"/>
      <c r="M742" s="413"/>
      <c r="N742" s="413"/>
      <c r="O742" s="413"/>
      <c r="P742" s="413"/>
      <c r="Q742" s="413"/>
      <c r="R742" s="413"/>
      <c r="S742" s="413"/>
      <c r="T742" s="413"/>
      <c r="U742" s="413"/>
      <c r="V742" s="413"/>
      <c r="W742" s="413"/>
      <c r="X742" s="413"/>
      <c r="Y742" s="413"/>
      <c r="Z742" s="413"/>
    </row>
    <row r="743" ht="12.0" customHeight="1">
      <c r="A743" s="413"/>
      <c r="B743" s="413"/>
      <c r="C743" s="414"/>
      <c r="D743" s="413"/>
      <c r="E743" s="413"/>
      <c r="F743" s="413"/>
      <c r="G743" s="413"/>
      <c r="H743" s="413"/>
      <c r="I743" s="413"/>
      <c r="J743" s="413"/>
      <c r="K743" s="413"/>
      <c r="L743" s="413"/>
      <c r="M743" s="413"/>
      <c r="N743" s="413"/>
      <c r="O743" s="413"/>
      <c r="P743" s="413"/>
      <c r="Q743" s="413"/>
      <c r="R743" s="413"/>
      <c r="S743" s="413"/>
      <c r="T743" s="413"/>
      <c r="U743" s="413"/>
      <c r="V743" s="413"/>
      <c r="W743" s="413"/>
      <c r="X743" s="413"/>
      <c r="Y743" s="413"/>
      <c r="Z743" s="413"/>
    </row>
    <row r="744" ht="12.0" customHeight="1">
      <c r="A744" s="413"/>
      <c r="B744" s="413"/>
      <c r="C744" s="414"/>
      <c r="D744" s="413"/>
      <c r="E744" s="413"/>
      <c r="F744" s="413"/>
      <c r="G744" s="413"/>
      <c r="H744" s="413"/>
      <c r="I744" s="413"/>
      <c r="J744" s="413"/>
      <c r="K744" s="413"/>
      <c r="L744" s="413"/>
      <c r="M744" s="413"/>
      <c r="N744" s="413"/>
      <c r="O744" s="413"/>
      <c r="P744" s="413"/>
      <c r="Q744" s="413"/>
      <c r="R744" s="413"/>
      <c r="S744" s="413"/>
      <c r="T744" s="413"/>
      <c r="U744" s="413"/>
      <c r="V744" s="413"/>
      <c r="W744" s="413"/>
      <c r="X744" s="413"/>
      <c r="Y744" s="413"/>
      <c r="Z744" s="413"/>
    </row>
    <row r="745" ht="12.0" customHeight="1">
      <c r="A745" s="413"/>
      <c r="B745" s="413"/>
      <c r="C745" s="414"/>
      <c r="D745" s="413"/>
      <c r="E745" s="413"/>
      <c r="F745" s="413"/>
      <c r="G745" s="413"/>
      <c r="H745" s="413"/>
      <c r="I745" s="413"/>
      <c r="J745" s="413"/>
      <c r="K745" s="413"/>
      <c r="L745" s="413"/>
      <c r="M745" s="413"/>
      <c r="N745" s="413"/>
      <c r="O745" s="413"/>
      <c r="P745" s="413"/>
      <c r="Q745" s="413"/>
      <c r="R745" s="413"/>
      <c r="S745" s="413"/>
      <c r="T745" s="413"/>
      <c r="U745" s="413"/>
      <c r="V745" s="413"/>
      <c r="W745" s="413"/>
      <c r="X745" s="413"/>
      <c r="Y745" s="413"/>
      <c r="Z745" s="413"/>
    </row>
    <row r="746" ht="12.0" customHeight="1">
      <c r="A746" s="413"/>
      <c r="B746" s="413"/>
      <c r="C746" s="414"/>
      <c r="D746" s="413"/>
      <c r="E746" s="413"/>
      <c r="F746" s="413"/>
      <c r="G746" s="413"/>
      <c r="H746" s="413"/>
      <c r="I746" s="413"/>
      <c r="J746" s="413"/>
      <c r="K746" s="413"/>
      <c r="L746" s="413"/>
      <c r="M746" s="413"/>
      <c r="N746" s="413"/>
      <c r="O746" s="413"/>
      <c r="P746" s="413"/>
      <c r="Q746" s="413"/>
      <c r="R746" s="413"/>
      <c r="S746" s="413"/>
      <c r="T746" s="413"/>
      <c r="U746" s="413"/>
      <c r="V746" s="413"/>
      <c r="W746" s="413"/>
      <c r="X746" s="413"/>
      <c r="Y746" s="413"/>
      <c r="Z746" s="413"/>
    </row>
    <row r="747" ht="12.0" customHeight="1">
      <c r="A747" s="413"/>
      <c r="B747" s="413"/>
      <c r="C747" s="414"/>
      <c r="D747" s="413"/>
      <c r="E747" s="413"/>
      <c r="F747" s="413"/>
      <c r="G747" s="413"/>
      <c r="H747" s="413"/>
      <c r="I747" s="413"/>
      <c r="J747" s="413"/>
      <c r="K747" s="413"/>
      <c r="L747" s="413"/>
      <c r="M747" s="413"/>
      <c r="N747" s="413"/>
      <c r="O747" s="413"/>
      <c r="P747" s="413"/>
      <c r="Q747" s="413"/>
      <c r="R747" s="413"/>
      <c r="S747" s="413"/>
      <c r="T747" s="413"/>
      <c r="U747" s="413"/>
      <c r="V747" s="413"/>
      <c r="W747" s="413"/>
      <c r="X747" s="413"/>
      <c r="Y747" s="413"/>
      <c r="Z747" s="413"/>
    </row>
    <row r="748" ht="12.0" customHeight="1">
      <c r="A748" s="413"/>
      <c r="B748" s="413"/>
      <c r="C748" s="414"/>
      <c r="D748" s="413"/>
      <c r="E748" s="413"/>
      <c r="F748" s="413"/>
      <c r="G748" s="413"/>
      <c r="H748" s="413"/>
      <c r="I748" s="413"/>
      <c r="J748" s="413"/>
      <c r="K748" s="413"/>
      <c r="L748" s="413"/>
      <c r="M748" s="413"/>
      <c r="N748" s="413"/>
      <c r="O748" s="413"/>
      <c r="P748" s="413"/>
      <c r="Q748" s="413"/>
      <c r="R748" s="413"/>
      <c r="S748" s="413"/>
      <c r="T748" s="413"/>
      <c r="U748" s="413"/>
      <c r="V748" s="413"/>
      <c r="W748" s="413"/>
      <c r="X748" s="413"/>
      <c r="Y748" s="413"/>
      <c r="Z748" s="413"/>
    </row>
    <row r="749" ht="12.0" customHeight="1">
      <c r="A749" s="413"/>
      <c r="B749" s="413"/>
      <c r="C749" s="414"/>
      <c r="D749" s="413"/>
      <c r="E749" s="413"/>
      <c r="F749" s="413"/>
      <c r="G749" s="413"/>
      <c r="H749" s="413"/>
      <c r="I749" s="413"/>
      <c r="J749" s="413"/>
      <c r="K749" s="413"/>
      <c r="L749" s="413"/>
      <c r="M749" s="413"/>
      <c r="N749" s="413"/>
      <c r="O749" s="413"/>
      <c r="P749" s="413"/>
      <c r="Q749" s="413"/>
      <c r="R749" s="413"/>
      <c r="S749" s="413"/>
      <c r="T749" s="413"/>
      <c r="U749" s="413"/>
      <c r="V749" s="413"/>
      <c r="W749" s="413"/>
      <c r="X749" s="413"/>
      <c r="Y749" s="413"/>
      <c r="Z749" s="413"/>
    </row>
    <row r="750" ht="12.0" customHeight="1">
      <c r="A750" s="413"/>
      <c r="B750" s="413"/>
      <c r="C750" s="414"/>
      <c r="D750" s="413"/>
      <c r="E750" s="413"/>
      <c r="F750" s="413"/>
      <c r="G750" s="413"/>
      <c r="H750" s="413"/>
      <c r="I750" s="413"/>
      <c r="J750" s="413"/>
      <c r="K750" s="413"/>
      <c r="L750" s="413"/>
      <c r="M750" s="413"/>
      <c r="N750" s="413"/>
      <c r="O750" s="413"/>
      <c r="P750" s="413"/>
      <c r="Q750" s="413"/>
      <c r="R750" s="413"/>
      <c r="S750" s="413"/>
      <c r="T750" s="413"/>
      <c r="U750" s="413"/>
      <c r="V750" s="413"/>
      <c r="W750" s="413"/>
      <c r="X750" s="413"/>
      <c r="Y750" s="413"/>
      <c r="Z750" s="413"/>
    </row>
    <row r="751" ht="12.0" customHeight="1">
      <c r="A751" s="413"/>
      <c r="B751" s="413"/>
      <c r="C751" s="414"/>
      <c r="D751" s="413"/>
      <c r="E751" s="413"/>
      <c r="F751" s="413"/>
      <c r="G751" s="413"/>
      <c r="H751" s="413"/>
      <c r="I751" s="413"/>
      <c r="J751" s="413"/>
      <c r="K751" s="413"/>
      <c r="L751" s="413"/>
      <c r="M751" s="413"/>
      <c r="N751" s="413"/>
      <c r="O751" s="413"/>
      <c r="P751" s="413"/>
      <c r="Q751" s="413"/>
      <c r="R751" s="413"/>
      <c r="S751" s="413"/>
      <c r="T751" s="413"/>
      <c r="U751" s="413"/>
      <c r="V751" s="413"/>
      <c r="W751" s="413"/>
      <c r="X751" s="413"/>
      <c r="Y751" s="413"/>
      <c r="Z751" s="413"/>
    </row>
    <row r="752" ht="12.0" customHeight="1">
      <c r="A752" s="413"/>
      <c r="B752" s="413"/>
      <c r="C752" s="414"/>
      <c r="D752" s="413"/>
      <c r="E752" s="413"/>
      <c r="F752" s="413"/>
      <c r="G752" s="413"/>
      <c r="H752" s="413"/>
      <c r="I752" s="413"/>
      <c r="J752" s="413"/>
      <c r="K752" s="413"/>
      <c r="L752" s="413"/>
      <c r="M752" s="413"/>
      <c r="N752" s="413"/>
      <c r="O752" s="413"/>
      <c r="P752" s="413"/>
      <c r="Q752" s="413"/>
      <c r="R752" s="413"/>
      <c r="S752" s="413"/>
      <c r="T752" s="413"/>
      <c r="U752" s="413"/>
      <c r="V752" s="413"/>
      <c r="W752" s="413"/>
      <c r="X752" s="413"/>
      <c r="Y752" s="413"/>
      <c r="Z752" s="413"/>
    </row>
    <row r="753" ht="12.0" customHeight="1">
      <c r="A753" s="413"/>
      <c r="B753" s="413"/>
      <c r="C753" s="414"/>
      <c r="D753" s="413"/>
      <c r="E753" s="413"/>
      <c r="F753" s="413"/>
      <c r="G753" s="413"/>
      <c r="H753" s="413"/>
      <c r="I753" s="413"/>
      <c r="J753" s="413"/>
      <c r="K753" s="413"/>
      <c r="L753" s="413"/>
      <c r="M753" s="413"/>
      <c r="N753" s="413"/>
      <c r="O753" s="413"/>
      <c r="P753" s="413"/>
      <c r="Q753" s="413"/>
      <c r="R753" s="413"/>
      <c r="S753" s="413"/>
      <c r="T753" s="413"/>
      <c r="U753" s="413"/>
      <c r="V753" s="413"/>
      <c r="W753" s="413"/>
      <c r="X753" s="413"/>
      <c r="Y753" s="413"/>
      <c r="Z753" s="413"/>
    </row>
    <row r="754" ht="12.0" customHeight="1">
      <c r="A754" s="413"/>
      <c r="B754" s="413"/>
      <c r="C754" s="414"/>
      <c r="D754" s="413"/>
      <c r="E754" s="413"/>
      <c r="F754" s="413"/>
      <c r="G754" s="413"/>
      <c r="H754" s="413"/>
      <c r="I754" s="413"/>
      <c r="J754" s="413"/>
      <c r="K754" s="413"/>
      <c r="L754" s="413"/>
      <c r="M754" s="413"/>
      <c r="N754" s="413"/>
      <c r="O754" s="413"/>
      <c r="P754" s="413"/>
      <c r="Q754" s="413"/>
      <c r="R754" s="413"/>
      <c r="S754" s="413"/>
      <c r="T754" s="413"/>
      <c r="U754" s="413"/>
      <c r="V754" s="413"/>
      <c r="W754" s="413"/>
      <c r="X754" s="413"/>
      <c r="Y754" s="413"/>
      <c r="Z754" s="413"/>
    </row>
    <row r="755" ht="12.0" customHeight="1">
      <c r="A755" s="413"/>
      <c r="B755" s="413"/>
      <c r="C755" s="414"/>
      <c r="D755" s="413"/>
      <c r="E755" s="413"/>
      <c r="F755" s="413"/>
      <c r="G755" s="413"/>
      <c r="H755" s="413"/>
      <c r="I755" s="413"/>
      <c r="J755" s="413"/>
      <c r="K755" s="413"/>
      <c r="L755" s="413"/>
      <c r="M755" s="413"/>
      <c r="N755" s="413"/>
      <c r="O755" s="413"/>
      <c r="P755" s="413"/>
      <c r="Q755" s="413"/>
      <c r="R755" s="413"/>
      <c r="S755" s="413"/>
      <c r="T755" s="413"/>
      <c r="U755" s="413"/>
      <c r="V755" s="413"/>
      <c r="W755" s="413"/>
      <c r="X755" s="413"/>
      <c r="Y755" s="413"/>
      <c r="Z755" s="413"/>
    </row>
    <row r="756" ht="12.0" customHeight="1">
      <c r="A756" s="413"/>
      <c r="B756" s="413"/>
      <c r="C756" s="414"/>
      <c r="D756" s="413"/>
      <c r="E756" s="413"/>
      <c r="F756" s="413"/>
      <c r="G756" s="413"/>
      <c r="H756" s="413"/>
      <c r="I756" s="413"/>
      <c r="J756" s="413"/>
      <c r="K756" s="413"/>
      <c r="L756" s="413"/>
      <c r="M756" s="413"/>
      <c r="N756" s="413"/>
      <c r="O756" s="413"/>
      <c r="P756" s="413"/>
      <c r="Q756" s="413"/>
      <c r="R756" s="413"/>
      <c r="S756" s="413"/>
      <c r="T756" s="413"/>
      <c r="U756" s="413"/>
      <c r="V756" s="413"/>
      <c r="W756" s="413"/>
      <c r="X756" s="413"/>
      <c r="Y756" s="413"/>
      <c r="Z756" s="413"/>
    </row>
    <row r="757" ht="12.0" customHeight="1">
      <c r="A757" s="413"/>
      <c r="B757" s="413"/>
      <c r="C757" s="414"/>
      <c r="D757" s="413"/>
      <c r="E757" s="413"/>
      <c r="F757" s="413"/>
      <c r="G757" s="413"/>
      <c r="H757" s="413"/>
      <c r="I757" s="413"/>
      <c r="J757" s="413"/>
      <c r="K757" s="413"/>
      <c r="L757" s="413"/>
      <c r="M757" s="413"/>
      <c r="N757" s="413"/>
      <c r="O757" s="413"/>
      <c r="P757" s="413"/>
      <c r="Q757" s="413"/>
      <c r="R757" s="413"/>
      <c r="S757" s="413"/>
      <c r="T757" s="413"/>
      <c r="U757" s="413"/>
      <c r="V757" s="413"/>
      <c r="W757" s="413"/>
      <c r="X757" s="413"/>
      <c r="Y757" s="413"/>
      <c r="Z757" s="413"/>
    </row>
    <row r="758" ht="12.0" customHeight="1">
      <c r="A758" s="413"/>
      <c r="B758" s="413"/>
      <c r="C758" s="414"/>
      <c r="D758" s="413"/>
      <c r="E758" s="413"/>
      <c r="F758" s="413"/>
      <c r="G758" s="413"/>
      <c r="H758" s="413"/>
      <c r="I758" s="413"/>
      <c r="J758" s="413"/>
      <c r="K758" s="413"/>
      <c r="L758" s="413"/>
      <c r="M758" s="413"/>
      <c r="N758" s="413"/>
      <c r="O758" s="413"/>
      <c r="P758" s="413"/>
      <c r="Q758" s="413"/>
      <c r="R758" s="413"/>
      <c r="S758" s="413"/>
      <c r="T758" s="413"/>
      <c r="U758" s="413"/>
      <c r="V758" s="413"/>
      <c r="W758" s="413"/>
      <c r="X758" s="413"/>
      <c r="Y758" s="413"/>
      <c r="Z758" s="413"/>
    </row>
    <row r="759" ht="12.0" customHeight="1">
      <c r="A759" s="413"/>
      <c r="B759" s="413"/>
      <c r="C759" s="414"/>
      <c r="D759" s="413"/>
      <c r="E759" s="413"/>
      <c r="F759" s="413"/>
      <c r="G759" s="413"/>
      <c r="H759" s="413"/>
      <c r="I759" s="413"/>
      <c r="J759" s="413"/>
      <c r="K759" s="413"/>
      <c r="L759" s="413"/>
      <c r="M759" s="413"/>
      <c r="N759" s="413"/>
      <c r="O759" s="413"/>
      <c r="P759" s="413"/>
      <c r="Q759" s="413"/>
      <c r="R759" s="413"/>
      <c r="S759" s="413"/>
      <c r="T759" s="413"/>
      <c r="U759" s="413"/>
      <c r="V759" s="413"/>
      <c r="W759" s="413"/>
      <c r="X759" s="413"/>
      <c r="Y759" s="413"/>
      <c r="Z759" s="413"/>
    </row>
    <row r="760" ht="12.0" customHeight="1">
      <c r="A760" s="413"/>
      <c r="B760" s="413"/>
      <c r="C760" s="414"/>
      <c r="D760" s="413"/>
      <c r="E760" s="413"/>
      <c r="F760" s="413"/>
      <c r="G760" s="413"/>
      <c r="H760" s="413"/>
      <c r="I760" s="413"/>
      <c r="J760" s="413"/>
      <c r="K760" s="413"/>
      <c r="L760" s="413"/>
      <c r="M760" s="413"/>
      <c r="N760" s="413"/>
      <c r="O760" s="413"/>
      <c r="P760" s="413"/>
      <c r="Q760" s="413"/>
      <c r="R760" s="413"/>
      <c r="S760" s="413"/>
      <c r="T760" s="413"/>
      <c r="U760" s="413"/>
      <c r="V760" s="413"/>
      <c r="W760" s="413"/>
      <c r="X760" s="413"/>
      <c r="Y760" s="413"/>
      <c r="Z760" s="413"/>
    </row>
    <row r="761" ht="12.0" customHeight="1">
      <c r="A761" s="413"/>
      <c r="B761" s="413"/>
      <c r="C761" s="414"/>
      <c r="D761" s="413"/>
      <c r="E761" s="413"/>
      <c r="F761" s="413"/>
      <c r="G761" s="413"/>
      <c r="H761" s="413"/>
      <c r="I761" s="413"/>
      <c r="J761" s="413"/>
      <c r="K761" s="413"/>
      <c r="L761" s="413"/>
      <c r="M761" s="413"/>
      <c r="N761" s="413"/>
      <c r="O761" s="413"/>
      <c r="P761" s="413"/>
      <c r="Q761" s="413"/>
      <c r="R761" s="413"/>
      <c r="S761" s="413"/>
      <c r="T761" s="413"/>
      <c r="U761" s="413"/>
      <c r="V761" s="413"/>
      <c r="W761" s="413"/>
      <c r="X761" s="413"/>
      <c r="Y761" s="413"/>
      <c r="Z761" s="413"/>
    </row>
    <row r="762" ht="12.0" customHeight="1">
      <c r="A762" s="413"/>
      <c r="B762" s="413"/>
      <c r="C762" s="414"/>
      <c r="D762" s="413"/>
      <c r="E762" s="413"/>
      <c r="F762" s="413"/>
      <c r="G762" s="413"/>
      <c r="H762" s="413"/>
      <c r="I762" s="413"/>
      <c r="J762" s="413"/>
      <c r="K762" s="413"/>
      <c r="L762" s="413"/>
      <c r="M762" s="413"/>
      <c r="N762" s="413"/>
      <c r="O762" s="413"/>
      <c r="P762" s="413"/>
      <c r="Q762" s="413"/>
      <c r="R762" s="413"/>
      <c r="S762" s="413"/>
      <c r="T762" s="413"/>
      <c r="U762" s="413"/>
      <c r="V762" s="413"/>
      <c r="W762" s="413"/>
      <c r="X762" s="413"/>
      <c r="Y762" s="413"/>
      <c r="Z762" s="413"/>
    </row>
    <row r="763" ht="12.0" customHeight="1">
      <c r="A763" s="413"/>
      <c r="B763" s="413"/>
      <c r="C763" s="414"/>
      <c r="D763" s="413"/>
      <c r="E763" s="413"/>
      <c r="F763" s="413"/>
      <c r="G763" s="413"/>
      <c r="H763" s="413"/>
      <c r="I763" s="413"/>
      <c r="J763" s="413"/>
      <c r="K763" s="413"/>
      <c r="L763" s="413"/>
      <c r="M763" s="413"/>
      <c r="N763" s="413"/>
      <c r="O763" s="413"/>
      <c r="P763" s="413"/>
      <c r="Q763" s="413"/>
      <c r="R763" s="413"/>
      <c r="S763" s="413"/>
      <c r="T763" s="413"/>
      <c r="U763" s="413"/>
      <c r="V763" s="413"/>
      <c r="W763" s="413"/>
      <c r="X763" s="413"/>
      <c r="Y763" s="413"/>
      <c r="Z763" s="413"/>
    </row>
    <row r="764" ht="12.0" customHeight="1">
      <c r="A764" s="413"/>
      <c r="B764" s="413"/>
      <c r="C764" s="414"/>
      <c r="D764" s="413"/>
      <c r="E764" s="413"/>
      <c r="F764" s="413"/>
      <c r="G764" s="413"/>
      <c r="H764" s="413"/>
      <c r="I764" s="413"/>
      <c r="J764" s="413"/>
      <c r="K764" s="413"/>
      <c r="L764" s="413"/>
      <c r="M764" s="413"/>
      <c r="N764" s="413"/>
      <c r="O764" s="413"/>
      <c r="P764" s="413"/>
      <c r="Q764" s="413"/>
      <c r="R764" s="413"/>
      <c r="S764" s="413"/>
      <c r="T764" s="413"/>
      <c r="U764" s="413"/>
      <c r="V764" s="413"/>
      <c r="W764" s="413"/>
      <c r="X764" s="413"/>
      <c r="Y764" s="413"/>
      <c r="Z764" s="413"/>
    </row>
    <row r="765" ht="12.0" customHeight="1">
      <c r="A765" s="413"/>
      <c r="B765" s="413"/>
      <c r="C765" s="414"/>
      <c r="D765" s="413"/>
      <c r="E765" s="413"/>
      <c r="F765" s="413"/>
      <c r="G765" s="413"/>
      <c r="H765" s="413"/>
      <c r="I765" s="413"/>
      <c r="J765" s="413"/>
      <c r="K765" s="413"/>
      <c r="L765" s="413"/>
      <c r="M765" s="413"/>
      <c r="N765" s="413"/>
      <c r="O765" s="413"/>
      <c r="P765" s="413"/>
      <c r="Q765" s="413"/>
      <c r="R765" s="413"/>
      <c r="S765" s="413"/>
      <c r="T765" s="413"/>
      <c r="U765" s="413"/>
      <c r="V765" s="413"/>
      <c r="W765" s="413"/>
      <c r="X765" s="413"/>
      <c r="Y765" s="413"/>
      <c r="Z765" s="413"/>
    </row>
    <row r="766" ht="12.0" customHeight="1">
      <c r="A766" s="413"/>
      <c r="B766" s="413"/>
      <c r="C766" s="414"/>
      <c r="D766" s="413"/>
      <c r="E766" s="413"/>
      <c r="F766" s="413"/>
      <c r="G766" s="413"/>
      <c r="H766" s="413"/>
      <c r="I766" s="413"/>
      <c r="J766" s="413"/>
      <c r="K766" s="413"/>
      <c r="L766" s="413"/>
      <c r="M766" s="413"/>
      <c r="N766" s="413"/>
      <c r="O766" s="413"/>
      <c r="P766" s="413"/>
      <c r="Q766" s="413"/>
      <c r="R766" s="413"/>
      <c r="S766" s="413"/>
      <c r="T766" s="413"/>
      <c r="U766" s="413"/>
      <c r="V766" s="413"/>
      <c r="W766" s="413"/>
      <c r="X766" s="413"/>
      <c r="Y766" s="413"/>
      <c r="Z766" s="413"/>
    </row>
    <row r="767" ht="12.0" customHeight="1">
      <c r="A767" s="413"/>
      <c r="B767" s="413"/>
      <c r="C767" s="414"/>
      <c r="D767" s="413"/>
      <c r="E767" s="413"/>
      <c r="F767" s="413"/>
      <c r="G767" s="413"/>
      <c r="H767" s="413"/>
      <c r="I767" s="413"/>
      <c r="J767" s="413"/>
      <c r="K767" s="413"/>
      <c r="L767" s="413"/>
      <c r="M767" s="413"/>
      <c r="N767" s="413"/>
      <c r="O767" s="413"/>
      <c r="P767" s="413"/>
      <c r="Q767" s="413"/>
      <c r="R767" s="413"/>
      <c r="S767" s="413"/>
      <c r="T767" s="413"/>
      <c r="U767" s="413"/>
      <c r="V767" s="413"/>
      <c r="W767" s="413"/>
      <c r="X767" s="413"/>
      <c r="Y767" s="413"/>
      <c r="Z767" s="413"/>
    </row>
    <row r="768" ht="12.0" customHeight="1">
      <c r="A768" s="413"/>
      <c r="B768" s="413"/>
      <c r="C768" s="414"/>
      <c r="D768" s="413"/>
      <c r="E768" s="413"/>
      <c r="F768" s="413"/>
      <c r="G768" s="413"/>
      <c r="H768" s="413"/>
      <c r="I768" s="413"/>
      <c r="J768" s="413"/>
      <c r="K768" s="413"/>
      <c r="L768" s="413"/>
      <c r="M768" s="413"/>
      <c r="N768" s="413"/>
      <c r="O768" s="413"/>
      <c r="P768" s="413"/>
      <c r="Q768" s="413"/>
      <c r="R768" s="413"/>
      <c r="S768" s="413"/>
      <c r="T768" s="413"/>
      <c r="U768" s="413"/>
      <c r="V768" s="413"/>
      <c r="W768" s="413"/>
      <c r="X768" s="413"/>
      <c r="Y768" s="413"/>
      <c r="Z768" s="413"/>
    </row>
    <row r="769" ht="12.0" customHeight="1">
      <c r="A769" s="413"/>
      <c r="B769" s="413"/>
      <c r="C769" s="414"/>
      <c r="D769" s="413"/>
      <c r="E769" s="413"/>
      <c r="F769" s="413"/>
      <c r="G769" s="413"/>
      <c r="H769" s="413"/>
      <c r="I769" s="413"/>
      <c r="J769" s="413"/>
      <c r="K769" s="413"/>
      <c r="L769" s="413"/>
      <c r="M769" s="413"/>
      <c r="N769" s="413"/>
      <c r="O769" s="413"/>
      <c r="P769" s="413"/>
      <c r="Q769" s="413"/>
      <c r="R769" s="413"/>
      <c r="S769" s="413"/>
      <c r="T769" s="413"/>
      <c r="U769" s="413"/>
      <c r="V769" s="413"/>
      <c r="W769" s="413"/>
      <c r="X769" s="413"/>
      <c r="Y769" s="413"/>
      <c r="Z769" s="413"/>
    </row>
    <row r="770" ht="12.0" customHeight="1">
      <c r="A770" s="413"/>
      <c r="B770" s="413"/>
      <c r="C770" s="414"/>
      <c r="D770" s="413"/>
      <c r="E770" s="413"/>
      <c r="F770" s="413"/>
      <c r="G770" s="413"/>
      <c r="H770" s="413"/>
      <c r="I770" s="413"/>
      <c r="J770" s="413"/>
      <c r="K770" s="413"/>
      <c r="L770" s="413"/>
      <c r="M770" s="413"/>
      <c r="N770" s="413"/>
      <c r="O770" s="413"/>
      <c r="P770" s="413"/>
      <c r="Q770" s="413"/>
      <c r="R770" s="413"/>
      <c r="S770" s="413"/>
      <c r="T770" s="413"/>
      <c r="U770" s="413"/>
      <c r="V770" s="413"/>
      <c r="W770" s="413"/>
      <c r="X770" s="413"/>
      <c r="Y770" s="413"/>
      <c r="Z770" s="413"/>
    </row>
    <row r="771" ht="12.0" customHeight="1">
      <c r="A771" s="413"/>
      <c r="B771" s="413"/>
      <c r="C771" s="414"/>
      <c r="D771" s="413"/>
      <c r="E771" s="413"/>
      <c r="F771" s="413"/>
      <c r="G771" s="413"/>
      <c r="H771" s="413"/>
      <c r="I771" s="413"/>
      <c r="J771" s="413"/>
      <c r="K771" s="413"/>
      <c r="L771" s="413"/>
      <c r="M771" s="413"/>
      <c r="N771" s="413"/>
      <c r="O771" s="413"/>
      <c r="P771" s="413"/>
      <c r="Q771" s="413"/>
      <c r="R771" s="413"/>
      <c r="S771" s="413"/>
      <c r="T771" s="413"/>
      <c r="U771" s="413"/>
      <c r="V771" s="413"/>
      <c r="W771" s="413"/>
      <c r="X771" s="413"/>
      <c r="Y771" s="413"/>
      <c r="Z771" s="413"/>
    </row>
    <row r="772" ht="12.0" customHeight="1">
      <c r="A772" s="413"/>
      <c r="B772" s="413"/>
      <c r="C772" s="414"/>
      <c r="D772" s="413"/>
      <c r="E772" s="413"/>
      <c r="F772" s="413"/>
      <c r="G772" s="413"/>
      <c r="H772" s="413"/>
      <c r="I772" s="413"/>
      <c r="J772" s="413"/>
      <c r="K772" s="413"/>
      <c r="L772" s="413"/>
      <c r="M772" s="413"/>
      <c r="N772" s="413"/>
      <c r="O772" s="413"/>
      <c r="P772" s="413"/>
      <c r="Q772" s="413"/>
      <c r="R772" s="413"/>
      <c r="S772" s="413"/>
      <c r="T772" s="413"/>
      <c r="U772" s="413"/>
      <c r="V772" s="413"/>
      <c r="W772" s="413"/>
      <c r="X772" s="413"/>
      <c r="Y772" s="413"/>
      <c r="Z772" s="413"/>
    </row>
    <row r="773" ht="12.0" customHeight="1">
      <c r="A773" s="413"/>
      <c r="B773" s="413"/>
      <c r="C773" s="414"/>
      <c r="D773" s="413"/>
      <c r="E773" s="413"/>
      <c r="F773" s="413"/>
      <c r="G773" s="413"/>
      <c r="H773" s="413"/>
      <c r="I773" s="413"/>
      <c r="J773" s="413"/>
      <c r="K773" s="413"/>
      <c r="L773" s="413"/>
      <c r="M773" s="413"/>
      <c r="N773" s="413"/>
      <c r="O773" s="413"/>
      <c r="P773" s="413"/>
      <c r="Q773" s="413"/>
      <c r="R773" s="413"/>
      <c r="S773" s="413"/>
      <c r="T773" s="413"/>
      <c r="U773" s="413"/>
      <c r="V773" s="413"/>
      <c r="W773" s="413"/>
      <c r="X773" s="413"/>
      <c r="Y773" s="413"/>
      <c r="Z773" s="413"/>
    </row>
    <row r="774" ht="12.0" customHeight="1">
      <c r="A774" s="413"/>
      <c r="B774" s="413"/>
      <c r="C774" s="414"/>
      <c r="D774" s="413"/>
      <c r="E774" s="413"/>
      <c r="F774" s="413"/>
      <c r="G774" s="413"/>
      <c r="H774" s="413"/>
      <c r="I774" s="413"/>
      <c r="J774" s="413"/>
      <c r="K774" s="413"/>
      <c r="L774" s="413"/>
      <c r="M774" s="413"/>
      <c r="N774" s="413"/>
      <c r="O774" s="413"/>
      <c r="P774" s="413"/>
      <c r="Q774" s="413"/>
      <c r="R774" s="413"/>
      <c r="S774" s="413"/>
      <c r="T774" s="413"/>
      <c r="U774" s="413"/>
      <c r="V774" s="413"/>
      <c r="W774" s="413"/>
      <c r="X774" s="413"/>
      <c r="Y774" s="413"/>
      <c r="Z774" s="413"/>
    </row>
    <row r="775" ht="12.0" customHeight="1">
      <c r="A775" s="413"/>
      <c r="B775" s="413"/>
      <c r="C775" s="414"/>
      <c r="D775" s="413"/>
      <c r="E775" s="413"/>
      <c r="F775" s="413"/>
      <c r="G775" s="413"/>
      <c r="H775" s="413"/>
      <c r="I775" s="413"/>
      <c r="J775" s="413"/>
      <c r="K775" s="413"/>
      <c r="L775" s="413"/>
      <c r="M775" s="413"/>
      <c r="N775" s="413"/>
      <c r="O775" s="413"/>
      <c r="P775" s="413"/>
      <c r="Q775" s="413"/>
      <c r="R775" s="413"/>
      <c r="S775" s="413"/>
      <c r="T775" s="413"/>
      <c r="U775" s="413"/>
      <c r="V775" s="413"/>
      <c r="W775" s="413"/>
      <c r="X775" s="413"/>
      <c r="Y775" s="413"/>
      <c r="Z775" s="413"/>
    </row>
    <row r="776" ht="12.0" customHeight="1">
      <c r="A776" s="413"/>
      <c r="B776" s="413"/>
      <c r="C776" s="414"/>
      <c r="D776" s="413"/>
      <c r="E776" s="413"/>
      <c r="F776" s="413"/>
      <c r="G776" s="413"/>
      <c r="H776" s="413"/>
      <c r="I776" s="413"/>
      <c r="J776" s="413"/>
      <c r="K776" s="413"/>
      <c r="L776" s="413"/>
      <c r="M776" s="413"/>
      <c r="N776" s="413"/>
      <c r="O776" s="413"/>
      <c r="P776" s="413"/>
      <c r="Q776" s="413"/>
      <c r="R776" s="413"/>
      <c r="S776" s="413"/>
      <c r="T776" s="413"/>
      <c r="U776" s="413"/>
      <c r="V776" s="413"/>
      <c r="W776" s="413"/>
      <c r="X776" s="413"/>
      <c r="Y776" s="413"/>
      <c r="Z776" s="413"/>
    </row>
    <row r="777" ht="12.0" customHeight="1">
      <c r="A777" s="413"/>
      <c r="B777" s="413"/>
      <c r="C777" s="414"/>
      <c r="D777" s="413"/>
      <c r="E777" s="413"/>
      <c r="F777" s="413"/>
      <c r="G777" s="413"/>
      <c r="H777" s="413"/>
      <c r="I777" s="413"/>
      <c r="J777" s="413"/>
      <c r="K777" s="413"/>
      <c r="L777" s="413"/>
      <c r="M777" s="413"/>
      <c r="N777" s="413"/>
      <c r="O777" s="413"/>
      <c r="P777" s="413"/>
      <c r="Q777" s="413"/>
      <c r="R777" s="413"/>
      <c r="S777" s="413"/>
      <c r="T777" s="413"/>
      <c r="U777" s="413"/>
      <c r="V777" s="413"/>
      <c r="W777" s="413"/>
      <c r="X777" s="413"/>
      <c r="Y777" s="413"/>
      <c r="Z777" s="413"/>
    </row>
    <row r="778" ht="12.0" customHeight="1">
      <c r="A778" s="413"/>
      <c r="B778" s="413"/>
      <c r="C778" s="414"/>
      <c r="D778" s="413"/>
      <c r="E778" s="413"/>
      <c r="F778" s="413"/>
      <c r="G778" s="413"/>
      <c r="H778" s="413"/>
      <c r="I778" s="413"/>
      <c r="J778" s="413"/>
      <c r="K778" s="413"/>
      <c r="L778" s="413"/>
      <c r="M778" s="413"/>
      <c r="N778" s="413"/>
      <c r="O778" s="413"/>
      <c r="P778" s="413"/>
      <c r="Q778" s="413"/>
      <c r="R778" s="413"/>
      <c r="S778" s="413"/>
      <c r="T778" s="413"/>
      <c r="U778" s="413"/>
      <c r="V778" s="413"/>
      <c r="W778" s="413"/>
      <c r="X778" s="413"/>
      <c r="Y778" s="413"/>
      <c r="Z778" s="413"/>
    </row>
    <row r="779" ht="12.0" customHeight="1">
      <c r="A779" s="413"/>
      <c r="B779" s="413"/>
      <c r="C779" s="414"/>
      <c r="D779" s="413"/>
      <c r="E779" s="413"/>
      <c r="F779" s="413"/>
      <c r="G779" s="413"/>
      <c r="H779" s="413"/>
      <c r="I779" s="413"/>
      <c r="J779" s="413"/>
      <c r="K779" s="413"/>
      <c r="L779" s="413"/>
      <c r="M779" s="413"/>
      <c r="N779" s="413"/>
      <c r="O779" s="413"/>
      <c r="P779" s="413"/>
      <c r="Q779" s="413"/>
      <c r="R779" s="413"/>
      <c r="S779" s="413"/>
      <c r="T779" s="413"/>
      <c r="U779" s="413"/>
      <c r="V779" s="413"/>
      <c r="W779" s="413"/>
      <c r="X779" s="413"/>
      <c r="Y779" s="413"/>
      <c r="Z779" s="413"/>
    </row>
    <row r="780" ht="12.0" customHeight="1">
      <c r="A780" s="413"/>
      <c r="B780" s="413"/>
      <c r="C780" s="414"/>
      <c r="D780" s="413"/>
      <c r="E780" s="413"/>
      <c r="F780" s="413"/>
      <c r="G780" s="413"/>
      <c r="H780" s="413"/>
      <c r="I780" s="413"/>
      <c r="J780" s="413"/>
      <c r="K780" s="413"/>
      <c r="L780" s="413"/>
      <c r="M780" s="413"/>
      <c r="N780" s="413"/>
      <c r="O780" s="413"/>
      <c r="P780" s="413"/>
      <c r="Q780" s="413"/>
      <c r="R780" s="413"/>
      <c r="S780" s="413"/>
      <c r="T780" s="413"/>
      <c r="U780" s="413"/>
      <c r="V780" s="413"/>
      <c r="W780" s="413"/>
      <c r="X780" s="413"/>
      <c r="Y780" s="413"/>
      <c r="Z780" s="413"/>
    </row>
    <row r="781" ht="12.0" customHeight="1">
      <c r="A781" s="413"/>
      <c r="B781" s="413"/>
      <c r="C781" s="414"/>
      <c r="D781" s="413"/>
      <c r="E781" s="413"/>
      <c r="F781" s="413"/>
      <c r="G781" s="413"/>
      <c r="H781" s="413"/>
      <c r="I781" s="413"/>
      <c r="J781" s="413"/>
      <c r="K781" s="413"/>
      <c r="L781" s="413"/>
      <c r="M781" s="413"/>
      <c r="N781" s="413"/>
      <c r="O781" s="413"/>
      <c r="P781" s="413"/>
      <c r="Q781" s="413"/>
      <c r="R781" s="413"/>
      <c r="S781" s="413"/>
      <c r="T781" s="413"/>
      <c r="U781" s="413"/>
      <c r="V781" s="413"/>
      <c r="W781" s="413"/>
      <c r="X781" s="413"/>
      <c r="Y781" s="413"/>
      <c r="Z781" s="413"/>
    </row>
    <row r="782" ht="12.0" customHeight="1">
      <c r="A782" s="413"/>
      <c r="B782" s="413"/>
      <c r="C782" s="414"/>
      <c r="D782" s="413"/>
      <c r="E782" s="413"/>
      <c r="F782" s="413"/>
      <c r="G782" s="413"/>
      <c r="H782" s="413"/>
      <c r="I782" s="413"/>
      <c r="J782" s="413"/>
      <c r="K782" s="413"/>
      <c r="L782" s="413"/>
      <c r="M782" s="413"/>
      <c r="N782" s="413"/>
      <c r="O782" s="413"/>
      <c r="P782" s="413"/>
      <c r="Q782" s="413"/>
      <c r="R782" s="413"/>
      <c r="S782" s="413"/>
      <c r="T782" s="413"/>
      <c r="U782" s="413"/>
      <c r="V782" s="413"/>
      <c r="W782" s="413"/>
      <c r="X782" s="413"/>
      <c r="Y782" s="413"/>
      <c r="Z782" s="413"/>
    </row>
    <row r="783" ht="12.0" customHeight="1">
      <c r="A783" s="413"/>
      <c r="B783" s="413"/>
      <c r="C783" s="414"/>
      <c r="D783" s="413"/>
      <c r="E783" s="413"/>
      <c r="F783" s="413"/>
      <c r="G783" s="413"/>
      <c r="H783" s="413"/>
      <c r="I783" s="413"/>
      <c r="J783" s="413"/>
      <c r="K783" s="413"/>
      <c r="L783" s="413"/>
      <c r="M783" s="413"/>
      <c r="N783" s="413"/>
      <c r="O783" s="413"/>
      <c r="P783" s="413"/>
      <c r="Q783" s="413"/>
      <c r="R783" s="413"/>
      <c r="S783" s="413"/>
      <c r="T783" s="413"/>
      <c r="U783" s="413"/>
      <c r="V783" s="413"/>
      <c r="W783" s="413"/>
      <c r="X783" s="413"/>
      <c r="Y783" s="413"/>
      <c r="Z783" s="413"/>
    </row>
    <row r="784" ht="12.0" customHeight="1">
      <c r="A784" s="413"/>
      <c r="B784" s="413"/>
      <c r="C784" s="414"/>
      <c r="D784" s="413"/>
      <c r="E784" s="413"/>
      <c r="F784" s="413"/>
      <c r="G784" s="413"/>
      <c r="H784" s="413"/>
      <c r="I784" s="413"/>
      <c r="J784" s="413"/>
      <c r="K784" s="413"/>
      <c r="L784" s="413"/>
      <c r="M784" s="413"/>
      <c r="N784" s="413"/>
      <c r="O784" s="413"/>
      <c r="P784" s="413"/>
      <c r="Q784" s="413"/>
      <c r="R784" s="413"/>
      <c r="S784" s="413"/>
      <c r="T784" s="413"/>
      <c r="U784" s="413"/>
      <c r="V784" s="413"/>
      <c r="W784" s="413"/>
      <c r="X784" s="413"/>
      <c r="Y784" s="413"/>
      <c r="Z784" s="413"/>
    </row>
    <row r="785" ht="12.0" customHeight="1">
      <c r="A785" s="413"/>
      <c r="B785" s="413"/>
      <c r="C785" s="414"/>
      <c r="D785" s="413"/>
      <c r="E785" s="413"/>
      <c r="F785" s="413"/>
      <c r="G785" s="413"/>
      <c r="H785" s="413"/>
      <c r="I785" s="413"/>
      <c r="J785" s="413"/>
      <c r="K785" s="413"/>
      <c r="L785" s="413"/>
      <c r="M785" s="413"/>
      <c r="N785" s="413"/>
      <c r="O785" s="413"/>
      <c r="P785" s="413"/>
      <c r="Q785" s="413"/>
      <c r="R785" s="413"/>
      <c r="S785" s="413"/>
      <c r="T785" s="413"/>
      <c r="U785" s="413"/>
      <c r="V785" s="413"/>
      <c r="W785" s="413"/>
      <c r="X785" s="413"/>
      <c r="Y785" s="413"/>
      <c r="Z785" s="413"/>
    </row>
    <row r="786" ht="12.0" customHeight="1">
      <c r="A786" s="413"/>
      <c r="B786" s="413"/>
      <c r="C786" s="414"/>
      <c r="D786" s="413"/>
      <c r="E786" s="413"/>
      <c r="F786" s="413"/>
      <c r="G786" s="413"/>
      <c r="H786" s="413"/>
      <c r="I786" s="413"/>
      <c r="J786" s="413"/>
      <c r="K786" s="413"/>
      <c r="L786" s="413"/>
      <c r="M786" s="413"/>
      <c r="N786" s="413"/>
      <c r="O786" s="413"/>
      <c r="P786" s="413"/>
      <c r="Q786" s="413"/>
      <c r="R786" s="413"/>
      <c r="S786" s="413"/>
      <c r="T786" s="413"/>
      <c r="U786" s="413"/>
      <c r="V786" s="413"/>
      <c r="W786" s="413"/>
      <c r="X786" s="413"/>
      <c r="Y786" s="413"/>
      <c r="Z786" s="413"/>
    </row>
    <row r="787" ht="12.0" customHeight="1">
      <c r="A787" s="413"/>
      <c r="B787" s="413"/>
      <c r="C787" s="414"/>
      <c r="D787" s="413"/>
      <c r="E787" s="413"/>
      <c r="F787" s="413"/>
      <c r="G787" s="413"/>
      <c r="H787" s="413"/>
      <c r="I787" s="413"/>
      <c r="J787" s="413"/>
      <c r="K787" s="413"/>
      <c r="L787" s="413"/>
      <c r="M787" s="413"/>
      <c r="N787" s="413"/>
      <c r="O787" s="413"/>
      <c r="P787" s="413"/>
      <c r="Q787" s="413"/>
      <c r="R787" s="413"/>
      <c r="S787" s="413"/>
      <c r="T787" s="413"/>
      <c r="U787" s="413"/>
      <c r="V787" s="413"/>
      <c r="W787" s="413"/>
      <c r="X787" s="413"/>
      <c r="Y787" s="413"/>
      <c r="Z787" s="413"/>
    </row>
    <row r="788" ht="12.0" customHeight="1">
      <c r="A788" s="413"/>
      <c r="B788" s="413"/>
      <c r="C788" s="414"/>
      <c r="D788" s="413"/>
      <c r="E788" s="413"/>
      <c r="F788" s="413"/>
      <c r="G788" s="413"/>
      <c r="H788" s="413"/>
      <c r="I788" s="413"/>
      <c r="J788" s="413"/>
      <c r="K788" s="413"/>
      <c r="L788" s="413"/>
      <c r="M788" s="413"/>
      <c r="N788" s="413"/>
      <c r="O788" s="413"/>
      <c r="P788" s="413"/>
      <c r="Q788" s="413"/>
      <c r="R788" s="413"/>
      <c r="S788" s="413"/>
      <c r="T788" s="413"/>
      <c r="U788" s="413"/>
      <c r="V788" s="413"/>
      <c r="W788" s="413"/>
      <c r="X788" s="413"/>
      <c r="Y788" s="413"/>
      <c r="Z788" s="413"/>
    </row>
    <row r="789" ht="12.0" customHeight="1">
      <c r="A789" s="413"/>
      <c r="B789" s="413"/>
      <c r="C789" s="414"/>
      <c r="D789" s="413"/>
      <c r="E789" s="413"/>
      <c r="F789" s="413"/>
      <c r="G789" s="413"/>
      <c r="H789" s="413"/>
      <c r="I789" s="413"/>
      <c r="J789" s="413"/>
      <c r="K789" s="413"/>
      <c r="L789" s="413"/>
      <c r="M789" s="413"/>
      <c r="N789" s="413"/>
      <c r="O789" s="413"/>
      <c r="P789" s="413"/>
      <c r="Q789" s="413"/>
      <c r="R789" s="413"/>
      <c r="S789" s="413"/>
      <c r="T789" s="413"/>
      <c r="U789" s="413"/>
      <c r="V789" s="413"/>
      <c r="W789" s="413"/>
      <c r="X789" s="413"/>
      <c r="Y789" s="413"/>
      <c r="Z789" s="413"/>
    </row>
    <row r="790" ht="12.0" customHeight="1">
      <c r="A790" s="413"/>
      <c r="B790" s="413"/>
      <c r="C790" s="414"/>
      <c r="D790" s="413"/>
      <c r="E790" s="413"/>
      <c r="F790" s="413"/>
      <c r="G790" s="413"/>
      <c r="H790" s="413"/>
      <c r="I790" s="413"/>
      <c r="J790" s="413"/>
      <c r="K790" s="413"/>
      <c r="L790" s="413"/>
      <c r="M790" s="413"/>
      <c r="N790" s="413"/>
      <c r="O790" s="413"/>
      <c r="P790" s="413"/>
      <c r="Q790" s="413"/>
      <c r="R790" s="413"/>
      <c r="S790" s="413"/>
      <c r="T790" s="413"/>
      <c r="U790" s="413"/>
      <c r="V790" s="413"/>
      <c r="W790" s="413"/>
      <c r="X790" s="413"/>
      <c r="Y790" s="413"/>
      <c r="Z790" s="413"/>
    </row>
    <row r="791" ht="12.0" customHeight="1">
      <c r="A791" s="413"/>
      <c r="B791" s="413"/>
      <c r="C791" s="414"/>
      <c r="D791" s="413"/>
      <c r="E791" s="413"/>
      <c r="F791" s="413"/>
      <c r="G791" s="413"/>
      <c r="H791" s="413"/>
      <c r="I791" s="413"/>
      <c r="J791" s="413"/>
      <c r="K791" s="413"/>
      <c r="L791" s="413"/>
      <c r="M791" s="413"/>
      <c r="N791" s="413"/>
      <c r="O791" s="413"/>
      <c r="P791" s="413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</row>
    <row r="792" ht="12.0" customHeight="1">
      <c r="A792" s="413"/>
      <c r="B792" s="413"/>
      <c r="C792" s="414"/>
      <c r="D792" s="413"/>
      <c r="E792" s="413"/>
      <c r="F792" s="413"/>
      <c r="G792" s="413"/>
      <c r="H792" s="413"/>
      <c r="I792" s="413"/>
      <c r="J792" s="413"/>
      <c r="K792" s="413"/>
      <c r="L792" s="413"/>
      <c r="M792" s="413"/>
      <c r="N792" s="413"/>
      <c r="O792" s="413"/>
      <c r="P792" s="413"/>
      <c r="Q792" s="413"/>
      <c r="R792" s="413"/>
      <c r="S792" s="413"/>
      <c r="T792" s="413"/>
      <c r="U792" s="413"/>
      <c r="V792" s="413"/>
      <c r="W792" s="413"/>
      <c r="X792" s="413"/>
      <c r="Y792" s="413"/>
      <c r="Z792" s="413"/>
    </row>
    <row r="793" ht="12.0" customHeight="1">
      <c r="A793" s="413"/>
      <c r="B793" s="413"/>
      <c r="C793" s="414"/>
      <c r="D793" s="413"/>
      <c r="E793" s="413"/>
      <c r="F793" s="413"/>
      <c r="G793" s="413"/>
      <c r="H793" s="413"/>
      <c r="I793" s="413"/>
      <c r="J793" s="413"/>
      <c r="K793" s="413"/>
      <c r="L793" s="413"/>
      <c r="M793" s="413"/>
      <c r="N793" s="413"/>
      <c r="O793" s="413"/>
      <c r="P793" s="413"/>
      <c r="Q793" s="413"/>
      <c r="R793" s="413"/>
      <c r="S793" s="413"/>
      <c r="T793" s="413"/>
      <c r="U793" s="413"/>
      <c r="V793" s="413"/>
      <c r="W793" s="413"/>
      <c r="X793" s="413"/>
      <c r="Y793" s="413"/>
      <c r="Z793" s="413"/>
    </row>
    <row r="794" ht="12.0" customHeight="1">
      <c r="A794" s="413"/>
      <c r="B794" s="413"/>
      <c r="C794" s="414"/>
      <c r="D794" s="413"/>
      <c r="E794" s="413"/>
      <c r="F794" s="413"/>
      <c r="G794" s="413"/>
      <c r="H794" s="413"/>
      <c r="I794" s="413"/>
      <c r="J794" s="413"/>
      <c r="K794" s="413"/>
      <c r="L794" s="413"/>
      <c r="M794" s="413"/>
      <c r="N794" s="413"/>
      <c r="O794" s="413"/>
      <c r="P794" s="413"/>
      <c r="Q794" s="413"/>
      <c r="R794" s="413"/>
      <c r="S794" s="413"/>
      <c r="T794" s="413"/>
      <c r="U794" s="413"/>
      <c r="V794" s="413"/>
      <c r="W794" s="413"/>
      <c r="X794" s="413"/>
      <c r="Y794" s="413"/>
      <c r="Z794" s="413"/>
    </row>
    <row r="795" ht="12.0" customHeight="1">
      <c r="A795" s="413"/>
      <c r="B795" s="413"/>
      <c r="C795" s="414"/>
      <c r="D795" s="413"/>
      <c r="E795" s="413"/>
      <c r="F795" s="413"/>
      <c r="G795" s="413"/>
      <c r="H795" s="413"/>
      <c r="I795" s="413"/>
      <c r="J795" s="413"/>
      <c r="K795" s="413"/>
      <c r="L795" s="413"/>
      <c r="M795" s="413"/>
      <c r="N795" s="413"/>
      <c r="O795" s="413"/>
      <c r="P795" s="413"/>
      <c r="Q795" s="413"/>
      <c r="R795" s="413"/>
      <c r="S795" s="413"/>
      <c r="T795" s="413"/>
      <c r="U795" s="413"/>
      <c r="V795" s="413"/>
      <c r="W795" s="413"/>
      <c r="X795" s="413"/>
      <c r="Y795" s="413"/>
      <c r="Z795" s="413"/>
    </row>
    <row r="796" ht="12.0" customHeight="1">
      <c r="A796" s="413"/>
      <c r="B796" s="413"/>
      <c r="C796" s="414"/>
      <c r="D796" s="413"/>
      <c r="E796" s="413"/>
      <c r="F796" s="413"/>
      <c r="G796" s="413"/>
      <c r="H796" s="413"/>
      <c r="I796" s="413"/>
      <c r="J796" s="413"/>
      <c r="K796" s="413"/>
      <c r="L796" s="413"/>
      <c r="M796" s="413"/>
      <c r="N796" s="413"/>
      <c r="O796" s="413"/>
      <c r="P796" s="413"/>
      <c r="Q796" s="413"/>
      <c r="R796" s="413"/>
      <c r="S796" s="413"/>
      <c r="T796" s="413"/>
      <c r="U796" s="413"/>
      <c r="V796" s="413"/>
      <c r="W796" s="413"/>
      <c r="X796" s="413"/>
      <c r="Y796" s="413"/>
      <c r="Z796" s="413"/>
    </row>
    <row r="797" ht="12.0" customHeight="1">
      <c r="A797" s="413"/>
      <c r="B797" s="413"/>
      <c r="C797" s="414"/>
      <c r="D797" s="413"/>
      <c r="E797" s="413"/>
      <c r="F797" s="413"/>
      <c r="G797" s="413"/>
      <c r="H797" s="413"/>
      <c r="I797" s="413"/>
      <c r="J797" s="413"/>
      <c r="K797" s="413"/>
      <c r="L797" s="413"/>
      <c r="M797" s="413"/>
      <c r="N797" s="413"/>
      <c r="O797" s="413"/>
      <c r="P797" s="413"/>
      <c r="Q797" s="413"/>
      <c r="R797" s="413"/>
      <c r="S797" s="413"/>
      <c r="T797" s="413"/>
      <c r="U797" s="413"/>
      <c r="V797" s="413"/>
      <c r="W797" s="413"/>
      <c r="X797" s="413"/>
      <c r="Y797" s="413"/>
      <c r="Z797" s="413"/>
    </row>
    <row r="798" ht="12.0" customHeight="1">
      <c r="A798" s="413"/>
      <c r="B798" s="413"/>
      <c r="C798" s="414"/>
      <c r="D798" s="413"/>
      <c r="E798" s="413"/>
      <c r="F798" s="413"/>
      <c r="G798" s="413"/>
      <c r="H798" s="413"/>
      <c r="I798" s="413"/>
      <c r="J798" s="413"/>
      <c r="K798" s="413"/>
      <c r="L798" s="413"/>
      <c r="M798" s="413"/>
      <c r="N798" s="413"/>
      <c r="O798" s="413"/>
      <c r="P798" s="413"/>
      <c r="Q798" s="413"/>
      <c r="R798" s="413"/>
      <c r="S798" s="413"/>
      <c r="T798" s="413"/>
      <c r="U798" s="413"/>
      <c r="V798" s="413"/>
      <c r="W798" s="413"/>
      <c r="X798" s="413"/>
      <c r="Y798" s="413"/>
      <c r="Z798" s="413"/>
    </row>
    <row r="799" ht="12.0" customHeight="1">
      <c r="A799" s="413"/>
      <c r="B799" s="413"/>
      <c r="C799" s="414"/>
      <c r="D799" s="413"/>
      <c r="E799" s="413"/>
      <c r="F799" s="413"/>
      <c r="G799" s="413"/>
      <c r="H799" s="413"/>
      <c r="I799" s="413"/>
      <c r="J799" s="413"/>
      <c r="K799" s="413"/>
      <c r="L799" s="413"/>
      <c r="M799" s="413"/>
      <c r="N799" s="413"/>
      <c r="O799" s="413"/>
      <c r="P799" s="413"/>
      <c r="Q799" s="413"/>
      <c r="R799" s="413"/>
      <c r="S799" s="413"/>
      <c r="T799" s="413"/>
      <c r="U799" s="413"/>
      <c r="V799" s="413"/>
      <c r="W799" s="413"/>
      <c r="X799" s="413"/>
      <c r="Y799" s="413"/>
      <c r="Z799" s="413"/>
    </row>
    <row r="800" ht="12.0" customHeight="1">
      <c r="A800" s="413"/>
      <c r="B800" s="413"/>
      <c r="C800" s="414"/>
      <c r="D800" s="413"/>
      <c r="E800" s="413"/>
      <c r="F800" s="413"/>
      <c r="G800" s="413"/>
      <c r="H800" s="413"/>
      <c r="I800" s="413"/>
      <c r="J800" s="413"/>
      <c r="K800" s="413"/>
      <c r="L800" s="413"/>
      <c r="M800" s="413"/>
      <c r="N800" s="413"/>
      <c r="O800" s="413"/>
      <c r="P800" s="413"/>
      <c r="Q800" s="413"/>
      <c r="R800" s="413"/>
      <c r="S800" s="413"/>
      <c r="T800" s="413"/>
      <c r="U800" s="413"/>
      <c r="V800" s="413"/>
      <c r="W800" s="413"/>
      <c r="X800" s="413"/>
      <c r="Y800" s="413"/>
      <c r="Z800" s="413"/>
    </row>
    <row r="801" ht="12.0" customHeight="1">
      <c r="A801" s="413"/>
      <c r="B801" s="413"/>
      <c r="C801" s="414"/>
      <c r="D801" s="413"/>
      <c r="E801" s="413"/>
      <c r="F801" s="413"/>
      <c r="G801" s="413"/>
      <c r="H801" s="413"/>
      <c r="I801" s="413"/>
      <c r="J801" s="413"/>
      <c r="K801" s="413"/>
      <c r="L801" s="413"/>
      <c r="M801" s="413"/>
      <c r="N801" s="413"/>
      <c r="O801" s="413"/>
      <c r="P801" s="413"/>
      <c r="Q801" s="413"/>
      <c r="R801" s="413"/>
      <c r="S801" s="413"/>
      <c r="T801" s="413"/>
      <c r="U801" s="413"/>
      <c r="V801" s="413"/>
      <c r="W801" s="413"/>
      <c r="X801" s="413"/>
      <c r="Y801" s="413"/>
      <c r="Z801" s="413"/>
    </row>
    <row r="802" ht="12.0" customHeight="1">
      <c r="A802" s="413"/>
      <c r="B802" s="413"/>
      <c r="C802" s="414"/>
      <c r="D802" s="413"/>
      <c r="E802" s="413"/>
      <c r="F802" s="413"/>
      <c r="G802" s="413"/>
      <c r="H802" s="413"/>
      <c r="I802" s="413"/>
      <c r="J802" s="413"/>
      <c r="K802" s="413"/>
      <c r="L802" s="413"/>
      <c r="M802" s="413"/>
      <c r="N802" s="413"/>
      <c r="O802" s="413"/>
      <c r="P802" s="413"/>
      <c r="Q802" s="413"/>
      <c r="R802" s="413"/>
      <c r="S802" s="413"/>
      <c r="T802" s="413"/>
      <c r="U802" s="413"/>
      <c r="V802" s="413"/>
      <c r="W802" s="413"/>
      <c r="X802" s="413"/>
      <c r="Y802" s="413"/>
      <c r="Z802" s="413"/>
    </row>
    <row r="803" ht="12.0" customHeight="1">
      <c r="A803" s="413"/>
      <c r="B803" s="413"/>
      <c r="C803" s="414"/>
      <c r="D803" s="413"/>
      <c r="E803" s="413"/>
      <c r="F803" s="413"/>
      <c r="G803" s="413"/>
      <c r="H803" s="413"/>
      <c r="I803" s="413"/>
      <c r="J803" s="413"/>
      <c r="K803" s="413"/>
      <c r="L803" s="413"/>
      <c r="M803" s="413"/>
      <c r="N803" s="413"/>
      <c r="O803" s="413"/>
      <c r="P803" s="413"/>
      <c r="Q803" s="413"/>
      <c r="R803" s="413"/>
      <c r="S803" s="413"/>
      <c r="T803" s="413"/>
      <c r="U803" s="413"/>
      <c r="V803" s="413"/>
      <c r="W803" s="413"/>
      <c r="X803" s="413"/>
      <c r="Y803" s="413"/>
      <c r="Z803" s="413"/>
    </row>
    <row r="804" ht="12.0" customHeight="1">
      <c r="A804" s="413"/>
      <c r="B804" s="413"/>
      <c r="C804" s="414"/>
      <c r="D804" s="413"/>
      <c r="E804" s="413"/>
      <c r="F804" s="413"/>
      <c r="G804" s="413"/>
      <c r="H804" s="413"/>
      <c r="I804" s="413"/>
      <c r="J804" s="413"/>
      <c r="K804" s="413"/>
      <c r="L804" s="413"/>
      <c r="M804" s="413"/>
      <c r="N804" s="413"/>
      <c r="O804" s="413"/>
      <c r="P804" s="413"/>
      <c r="Q804" s="413"/>
      <c r="R804" s="413"/>
      <c r="S804" s="413"/>
      <c r="T804" s="413"/>
      <c r="U804" s="413"/>
      <c r="V804" s="413"/>
      <c r="W804" s="413"/>
      <c r="X804" s="413"/>
      <c r="Y804" s="413"/>
      <c r="Z804" s="413"/>
    </row>
    <row r="805" ht="12.0" customHeight="1">
      <c r="A805" s="413"/>
      <c r="B805" s="413"/>
      <c r="C805" s="414"/>
      <c r="D805" s="413"/>
      <c r="E805" s="413"/>
      <c r="F805" s="413"/>
      <c r="G805" s="413"/>
      <c r="H805" s="413"/>
      <c r="I805" s="413"/>
      <c r="J805" s="413"/>
      <c r="K805" s="413"/>
      <c r="L805" s="413"/>
      <c r="M805" s="413"/>
      <c r="N805" s="413"/>
      <c r="O805" s="413"/>
      <c r="P805" s="413"/>
      <c r="Q805" s="413"/>
      <c r="R805" s="413"/>
      <c r="S805" s="413"/>
      <c r="T805" s="413"/>
      <c r="U805" s="413"/>
      <c r="V805" s="413"/>
      <c r="W805" s="413"/>
      <c r="X805" s="413"/>
      <c r="Y805" s="413"/>
      <c r="Z805" s="413"/>
    </row>
    <row r="806" ht="12.0" customHeight="1">
      <c r="A806" s="413"/>
      <c r="B806" s="413"/>
      <c r="C806" s="414"/>
      <c r="D806" s="413"/>
      <c r="E806" s="413"/>
      <c r="F806" s="413"/>
      <c r="G806" s="413"/>
      <c r="H806" s="413"/>
      <c r="I806" s="413"/>
      <c r="J806" s="413"/>
      <c r="K806" s="413"/>
      <c r="L806" s="413"/>
      <c r="M806" s="413"/>
      <c r="N806" s="413"/>
      <c r="O806" s="413"/>
      <c r="P806" s="413"/>
      <c r="Q806" s="413"/>
      <c r="R806" s="413"/>
      <c r="S806" s="413"/>
      <c r="T806" s="413"/>
      <c r="U806" s="413"/>
      <c r="V806" s="413"/>
      <c r="W806" s="413"/>
      <c r="X806" s="413"/>
      <c r="Y806" s="413"/>
      <c r="Z806" s="413"/>
    </row>
    <row r="807" ht="12.0" customHeight="1">
      <c r="A807" s="413"/>
      <c r="B807" s="413"/>
      <c r="C807" s="414"/>
      <c r="D807" s="413"/>
      <c r="E807" s="413"/>
      <c r="F807" s="413"/>
      <c r="G807" s="413"/>
      <c r="H807" s="413"/>
      <c r="I807" s="413"/>
      <c r="J807" s="413"/>
      <c r="K807" s="413"/>
      <c r="L807" s="413"/>
      <c r="M807" s="413"/>
      <c r="N807" s="413"/>
      <c r="O807" s="413"/>
      <c r="P807" s="413"/>
      <c r="Q807" s="413"/>
      <c r="R807" s="413"/>
      <c r="S807" s="413"/>
      <c r="T807" s="413"/>
      <c r="U807" s="413"/>
      <c r="V807" s="413"/>
      <c r="W807" s="413"/>
      <c r="X807" s="413"/>
      <c r="Y807" s="413"/>
      <c r="Z807" s="413"/>
    </row>
    <row r="808" ht="12.0" customHeight="1">
      <c r="A808" s="413"/>
      <c r="B808" s="413"/>
      <c r="C808" s="414"/>
      <c r="D808" s="413"/>
      <c r="E808" s="413"/>
      <c r="F808" s="413"/>
      <c r="G808" s="413"/>
      <c r="H808" s="413"/>
      <c r="I808" s="413"/>
      <c r="J808" s="413"/>
      <c r="K808" s="413"/>
      <c r="L808" s="413"/>
      <c r="M808" s="413"/>
      <c r="N808" s="413"/>
      <c r="O808" s="413"/>
      <c r="P808" s="413"/>
      <c r="Q808" s="413"/>
      <c r="R808" s="413"/>
      <c r="S808" s="413"/>
      <c r="T808" s="413"/>
      <c r="U808" s="413"/>
      <c r="V808" s="413"/>
      <c r="W808" s="413"/>
      <c r="X808" s="413"/>
      <c r="Y808" s="413"/>
      <c r="Z808" s="413"/>
    </row>
    <row r="809" ht="12.0" customHeight="1">
      <c r="A809" s="413"/>
      <c r="B809" s="413"/>
      <c r="C809" s="414"/>
      <c r="D809" s="413"/>
      <c r="E809" s="413"/>
      <c r="F809" s="413"/>
      <c r="G809" s="413"/>
      <c r="H809" s="413"/>
      <c r="I809" s="413"/>
      <c r="J809" s="413"/>
      <c r="K809" s="413"/>
      <c r="L809" s="413"/>
      <c r="M809" s="413"/>
      <c r="N809" s="413"/>
      <c r="O809" s="413"/>
      <c r="P809" s="413"/>
      <c r="Q809" s="413"/>
      <c r="R809" s="413"/>
      <c r="S809" s="413"/>
      <c r="T809" s="413"/>
      <c r="U809" s="413"/>
      <c r="V809" s="413"/>
      <c r="W809" s="413"/>
      <c r="X809" s="413"/>
      <c r="Y809" s="413"/>
      <c r="Z809" s="413"/>
    </row>
    <row r="810" ht="12.0" customHeight="1">
      <c r="A810" s="413"/>
      <c r="B810" s="413"/>
      <c r="C810" s="414"/>
      <c r="D810" s="413"/>
      <c r="E810" s="413"/>
      <c r="F810" s="413"/>
      <c r="G810" s="413"/>
      <c r="H810" s="413"/>
      <c r="I810" s="413"/>
      <c r="J810" s="413"/>
      <c r="K810" s="413"/>
      <c r="L810" s="413"/>
      <c r="M810" s="413"/>
      <c r="N810" s="413"/>
      <c r="O810" s="413"/>
      <c r="P810" s="413"/>
      <c r="Q810" s="413"/>
      <c r="R810" s="413"/>
      <c r="S810" s="413"/>
      <c r="T810" s="413"/>
      <c r="U810" s="413"/>
      <c r="V810" s="413"/>
      <c r="W810" s="413"/>
      <c r="X810" s="413"/>
      <c r="Y810" s="413"/>
      <c r="Z810" s="413"/>
    </row>
    <row r="811" ht="12.0" customHeight="1">
      <c r="A811" s="413"/>
      <c r="B811" s="413"/>
      <c r="C811" s="414"/>
      <c r="D811" s="413"/>
      <c r="E811" s="413"/>
      <c r="F811" s="413"/>
      <c r="G811" s="413"/>
      <c r="H811" s="413"/>
      <c r="I811" s="413"/>
      <c r="J811" s="413"/>
      <c r="K811" s="413"/>
      <c r="L811" s="413"/>
      <c r="M811" s="413"/>
      <c r="N811" s="413"/>
      <c r="O811" s="413"/>
      <c r="P811" s="413"/>
      <c r="Q811" s="413"/>
      <c r="R811" s="413"/>
      <c r="S811" s="413"/>
      <c r="T811" s="413"/>
      <c r="U811" s="413"/>
      <c r="V811" s="413"/>
      <c r="W811" s="413"/>
      <c r="X811" s="413"/>
      <c r="Y811" s="413"/>
      <c r="Z811" s="413"/>
    </row>
    <row r="812" ht="12.0" customHeight="1">
      <c r="A812" s="413"/>
      <c r="B812" s="413"/>
      <c r="C812" s="414"/>
      <c r="D812" s="413"/>
      <c r="E812" s="413"/>
      <c r="F812" s="413"/>
      <c r="G812" s="413"/>
      <c r="H812" s="413"/>
      <c r="I812" s="413"/>
      <c r="J812" s="413"/>
      <c r="K812" s="413"/>
      <c r="L812" s="413"/>
      <c r="M812" s="413"/>
      <c r="N812" s="413"/>
      <c r="O812" s="413"/>
      <c r="P812" s="413"/>
      <c r="Q812" s="413"/>
      <c r="R812" s="413"/>
      <c r="S812" s="413"/>
      <c r="T812" s="413"/>
      <c r="U812" s="413"/>
      <c r="V812" s="413"/>
      <c r="W812" s="413"/>
      <c r="X812" s="413"/>
      <c r="Y812" s="413"/>
      <c r="Z812" s="413"/>
    </row>
    <row r="813" ht="12.0" customHeight="1">
      <c r="A813" s="413"/>
      <c r="B813" s="413"/>
      <c r="C813" s="414"/>
      <c r="D813" s="413"/>
      <c r="E813" s="413"/>
      <c r="F813" s="413"/>
      <c r="G813" s="413"/>
      <c r="H813" s="413"/>
      <c r="I813" s="413"/>
      <c r="J813" s="413"/>
      <c r="K813" s="413"/>
      <c r="L813" s="413"/>
      <c r="M813" s="413"/>
      <c r="N813" s="413"/>
      <c r="O813" s="413"/>
      <c r="P813" s="413"/>
      <c r="Q813" s="413"/>
      <c r="R813" s="413"/>
      <c r="S813" s="413"/>
      <c r="T813" s="413"/>
      <c r="U813" s="413"/>
      <c r="V813" s="413"/>
      <c r="W813" s="413"/>
      <c r="X813" s="413"/>
      <c r="Y813" s="413"/>
      <c r="Z813" s="413"/>
    </row>
    <row r="814" ht="12.0" customHeight="1">
      <c r="A814" s="413"/>
      <c r="B814" s="413"/>
      <c r="C814" s="414"/>
      <c r="D814" s="413"/>
      <c r="E814" s="413"/>
      <c r="F814" s="413"/>
      <c r="G814" s="413"/>
      <c r="H814" s="413"/>
      <c r="I814" s="413"/>
      <c r="J814" s="413"/>
      <c r="K814" s="413"/>
      <c r="L814" s="413"/>
      <c r="M814" s="413"/>
      <c r="N814" s="413"/>
      <c r="O814" s="413"/>
      <c r="P814" s="413"/>
      <c r="Q814" s="413"/>
      <c r="R814" s="413"/>
      <c r="S814" s="413"/>
      <c r="T814" s="413"/>
      <c r="U814" s="413"/>
      <c r="V814" s="413"/>
      <c r="W814" s="413"/>
      <c r="X814" s="413"/>
      <c r="Y814" s="413"/>
      <c r="Z814" s="413"/>
    </row>
    <row r="815" ht="12.0" customHeight="1">
      <c r="A815" s="413"/>
      <c r="B815" s="413"/>
      <c r="C815" s="414"/>
      <c r="D815" s="413"/>
      <c r="E815" s="413"/>
      <c r="F815" s="413"/>
      <c r="G815" s="413"/>
      <c r="H815" s="413"/>
      <c r="I815" s="413"/>
      <c r="J815" s="413"/>
      <c r="K815" s="413"/>
      <c r="L815" s="413"/>
      <c r="M815" s="413"/>
      <c r="N815" s="413"/>
      <c r="O815" s="413"/>
      <c r="P815" s="413"/>
      <c r="Q815" s="413"/>
      <c r="R815" s="413"/>
      <c r="S815" s="413"/>
      <c r="T815" s="413"/>
      <c r="U815" s="413"/>
      <c r="V815" s="413"/>
      <c r="W815" s="413"/>
      <c r="X815" s="413"/>
      <c r="Y815" s="413"/>
      <c r="Z815" s="413"/>
    </row>
    <row r="816" ht="12.0" customHeight="1">
      <c r="A816" s="413"/>
      <c r="B816" s="413"/>
      <c r="C816" s="414"/>
      <c r="D816" s="413"/>
      <c r="E816" s="413"/>
      <c r="F816" s="413"/>
      <c r="G816" s="413"/>
      <c r="H816" s="413"/>
      <c r="I816" s="413"/>
      <c r="J816" s="413"/>
      <c r="K816" s="413"/>
      <c r="L816" s="413"/>
      <c r="M816" s="413"/>
      <c r="N816" s="413"/>
      <c r="O816" s="413"/>
      <c r="P816" s="413"/>
      <c r="Q816" s="413"/>
      <c r="R816" s="413"/>
      <c r="S816" s="413"/>
      <c r="T816" s="413"/>
      <c r="U816" s="413"/>
      <c r="V816" s="413"/>
      <c r="W816" s="413"/>
      <c r="X816" s="413"/>
      <c r="Y816" s="413"/>
      <c r="Z816" s="413"/>
    </row>
    <row r="817" ht="12.0" customHeight="1">
      <c r="A817" s="413"/>
      <c r="B817" s="413"/>
      <c r="C817" s="414"/>
      <c r="D817" s="413"/>
      <c r="E817" s="413"/>
      <c r="F817" s="413"/>
      <c r="G817" s="413"/>
      <c r="H817" s="413"/>
      <c r="I817" s="413"/>
      <c r="J817" s="413"/>
      <c r="K817" s="413"/>
      <c r="L817" s="413"/>
      <c r="M817" s="413"/>
      <c r="N817" s="413"/>
      <c r="O817" s="413"/>
      <c r="P817" s="413"/>
      <c r="Q817" s="413"/>
      <c r="R817" s="413"/>
      <c r="S817" s="413"/>
      <c r="T817" s="413"/>
      <c r="U817" s="413"/>
      <c r="V817" s="413"/>
      <c r="W817" s="413"/>
      <c r="X817" s="413"/>
      <c r="Y817" s="413"/>
      <c r="Z817" s="413"/>
    </row>
    <row r="818" ht="12.0" customHeight="1">
      <c r="A818" s="413"/>
      <c r="B818" s="413"/>
      <c r="C818" s="414"/>
      <c r="D818" s="413"/>
      <c r="E818" s="413"/>
      <c r="F818" s="413"/>
      <c r="G818" s="413"/>
      <c r="H818" s="413"/>
      <c r="I818" s="413"/>
      <c r="J818" s="413"/>
      <c r="K818" s="413"/>
      <c r="L818" s="413"/>
      <c r="M818" s="413"/>
      <c r="N818" s="413"/>
      <c r="O818" s="413"/>
      <c r="P818" s="413"/>
      <c r="Q818" s="413"/>
      <c r="R818" s="413"/>
      <c r="S818" s="413"/>
      <c r="T818" s="413"/>
      <c r="U818" s="413"/>
      <c r="V818" s="413"/>
      <c r="W818" s="413"/>
      <c r="X818" s="413"/>
      <c r="Y818" s="413"/>
      <c r="Z818" s="413"/>
    </row>
    <row r="819" ht="12.0" customHeight="1">
      <c r="A819" s="413"/>
      <c r="B819" s="413"/>
      <c r="C819" s="414"/>
      <c r="D819" s="413"/>
      <c r="E819" s="413"/>
      <c r="F819" s="413"/>
      <c r="G819" s="413"/>
      <c r="H819" s="413"/>
      <c r="I819" s="413"/>
      <c r="J819" s="413"/>
      <c r="K819" s="413"/>
      <c r="L819" s="413"/>
      <c r="M819" s="413"/>
      <c r="N819" s="413"/>
      <c r="O819" s="413"/>
      <c r="P819" s="413"/>
      <c r="Q819" s="413"/>
      <c r="R819" s="413"/>
      <c r="S819" s="413"/>
      <c r="T819" s="413"/>
      <c r="U819" s="413"/>
      <c r="V819" s="413"/>
      <c r="W819" s="413"/>
      <c r="X819" s="413"/>
      <c r="Y819" s="413"/>
      <c r="Z819" s="413"/>
    </row>
    <row r="820" ht="12.0" customHeight="1">
      <c r="A820" s="413"/>
      <c r="B820" s="413"/>
      <c r="C820" s="414"/>
      <c r="D820" s="413"/>
      <c r="E820" s="413"/>
      <c r="F820" s="413"/>
      <c r="G820" s="413"/>
      <c r="H820" s="413"/>
      <c r="I820" s="413"/>
      <c r="J820" s="413"/>
      <c r="K820" s="413"/>
      <c r="L820" s="413"/>
      <c r="M820" s="413"/>
      <c r="N820" s="413"/>
      <c r="O820" s="413"/>
      <c r="P820" s="413"/>
      <c r="Q820" s="413"/>
      <c r="R820" s="413"/>
      <c r="S820" s="413"/>
      <c r="T820" s="413"/>
      <c r="U820" s="413"/>
      <c r="V820" s="413"/>
      <c r="W820" s="413"/>
      <c r="X820" s="413"/>
      <c r="Y820" s="413"/>
      <c r="Z820" s="413"/>
    </row>
    <row r="821" ht="12.0" customHeight="1">
      <c r="A821" s="413"/>
      <c r="B821" s="413"/>
      <c r="C821" s="414"/>
      <c r="D821" s="413"/>
      <c r="E821" s="413"/>
      <c r="F821" s="413"/>
      <c r="G821" s="413"/>
      <c r="H821" s="413"/>
      <c r="I821" s="413"/>
      <c r="J821" s="413"/>
      <c r="K821" s="413"/>
      <c r="L821" s="413"/>
      <c r="M821" s="413"/>
      <c r="N821" s="413"/>
      <c r="O821" s="413"/>
      <c r="P821" s="413"/>
      <c r="Q821" s="413"/>
      <c r="R821" s="413"/>
      <c r="S821" s="413"/>
      <c r="T821" s="413"/>
      <c r="U821" s="413"/>
      <c r="V821" s="413"/>
      <c r="W821" s="413"/>
      <c r="X821" s="413"/>
      <c r="Y821" s="413"/>
      <c r="Z821" s="413"/>
    </row>
    <row r="822" ht="12.0" customHeight="1">
      <c r="A822" s="413"/>
      <c r="B822" s="413"/>
      <c r="C822" s="414"/>
      <c r="D822" s="413"/>
      <c r="E822" s="413"/>
      <c r="F822" s="413"/>
      <c r="G822" s="413"/>
      <c r="H822" s="413"/>
      <c r="I822" s="413"/>
      <c r="J822" s="413"/>
      <c r="K822" s="413"/>
      <c r="L822" s="413"/>
      <c r="M822" s="413"/>
      <c r="N822" s="413"/>
      <c r="O822" s="413"/>
      <c r="P822" s="413"/>
      <c r="Q822" s="413"/>
      <c r="R822" s="413"/>
      <c r="S822" s="413"/>
      <c r="T822" s="413"/>
      <c r="U822" s="413"/>
      <c r="V822" s="413"/>
      <c r="W822" s="413"/>
      <c r="X822" s="413"/>
      <c r="Y822" s="413"/>
      <c r="Z822" s="413"/>
    </row>
    <row r="823" ht="12.0" customHeight="1">
      <c r="A823" s="413"/>
      <c r="B823" s="413"/>
      <c r="C823" s="414"/>
      <c r="D823" s="413"/>
      <c r="E823" s="413"/>
      <c r="F823" s="413"/>
      <c r="G823" s="413"/>
      <c r="H823" s="413"/>
      <c r="I823" s="413"/>
      <c r="J823" s="413"/>
      <c r="K823" s="413"/>
      <c r="L823" s="413"/>
      <c r="M823" s="413"/>
      <c r="N823" s="413"/>
      <c r="O823" s="413"/>
      <c r="P823" s="413"/>
      <c r="Q823" s="413"/>
      <c r="R823" s="413"/>
      <c r="S823" s="413"/>
      <c r="T823" s="413"/>
      <c r="U823" s="413"/>
      <c r="V823" s="413"/>
      <c r="W823" s="413"/>
      <c r="X823" s="413"/>
      <c r="Y823" s="413"/>
      <c r="Z823" s="413"/>
    </row>
    <row r="824" ht="12.0" customHeight="1">
      <c r="A824" s="413"/>
      <c r="B824" s="413"/>
      <c r="C824" s="414"/>
      <c r="D824" s="413"/>
      <c r="E824" s="413"/>
      <c r="F824" s="413"/>
      <c r="G824" s="413"/>
      <c r="H824" s="413"/>
      <c r="I824" s="413"/>
      <c r="J824" s="413"/>
      <c r="K824" s="413"/>
      <c r="L824" s="413"/>
      <c r="M824" s="413"/>
      <c r="N824" s="413"/>
      <c r="O824" s="413"/>
      <c r="P824" s="413"/>
      <c r="Q824" s="413"/>
      <c r="R824" s="413"/>
      <c r="S824" s="413"/>
      <c r="T824" s="413"/>
      <c r="U824" s="413"/>
      <c r="V824" s="413"/>
      <c r="W824" s="413"/>
      <c r="X824" s="413"/>
      <c r="Y824" s="413"/>
      <c r="Z824" s="413"/>
    </row>
    <row r="825" ht="12.0" customHeight="1">
      <c r="A825" s="413"/>
      <c r="B825" s="413"/>
      <c r="C825" s="414"/>
      <c r="D825" s="413"/>
      <c r="E825" s="413"/>
      <c r="F825" s="413"/>
      <c r="G825" s="413"/>
      <c r="H825" s="413"/>
      <c r="I825" s="413"/>
      <c r="J825" s="413"/>
      <c r="K825" s="413"/>
      <c r="L825" s="413"/>
      <c r="M825" s="413"/>
      <c r="N825" s="413"/>
      <c r="O825" s="413"/>
      <c r="P825" s="413"/>
      <c r="Q825" s="413"/>
      <c r="R825" s="413"/>
      <c r="S825" s="413"/>
      <c r="T825" s="413"/>
      <c r="U825" s="413"/>
      <c r="V825" s="413"/>
      <c r="W825" s="413"/>
      <c r="X825" s="413"/>
      <c r="Y825" s="413"/>
      <c r="Z825" s="413"/>
    </row>
    <row r="826" ht="12.0" customHeight="1">
      <c r="A826" s="413"/>
      <c r="B826" s="413"/>
      <c r="C826" s="414"/>
      <c r="D826" s="413"/>
      <c r="E826" s="413"/>
      <c r="F826" s="413"/>
      <c r="G826" s="413"/>
      <c r="H826" s="413"/>
      <c r="I826" s="413"/>
      <c r="J826" s="413"/>
      <c r="K826" s="413"/>
      <c r="L826" s="413"/>
      <c r="M826" s="413"/>
      <c r="N826" s="413"/>
      <c r="O826" s="413"/>
      <c r="P826" s="413"/>
      <c r="Q826" s="413"/>
      <c r="R826" s="413"/>
      <c r="S826" s="413"/>
      <c r="T826" s="413"/>
      <c r="U826" s="413"/>
      <c r="V826" s="413"/>
      <c r="W826" s="413"/>
      <c r="X826" s="413"/>
      <c r="Y826" s="413"/>
      <c r="Z826" s="413"/>
    </row>
    <row r="827" ht="12.0" customHeight="1">
      <c r="A827" s="413"/>
      <c r="B827" s="413"/>
      <c r="C827" s="414"/>
      <c r="D827" s="413"/>
      <c r="E827" s="413"/>
      <c r="F827" s="413"/>
      <c r="G827" s="413"/>
      <c r="H827" s="413"/>
      <c r="I827" s="413"/>
      <c r="J827" s="413"/>
      <c r="K827" s="413"/>
      <c r="L827" s="413"/>
      <c r="M827" s="413"/>
      <c r="N827" s="413"/>
      <c r="O827" s="413"/>
      <c r="P827" s="413"/>
      <c r="Q827" s="413"/>
      <c r="R827" s="413"/>
      <c r="S827" s="413"/>
      <c r="T827" s="413"/>
      <c r="U827" s="413"/>
      <c r="V827" s="413"/>
      <c r="W827" s="413"/>
      <c r="X827" s="413"/>
      <c r="Y827" s="413"/>
      <c r="Z827" s="413"/>
    </row>
    <row r="828" ht="12.0" customHeight="1">
      <c r="A828" s="413"/>
      <c r="B828" s="413"/>
      <c r="C828" s="414"/>
      <c r="D828" s="413"/>
      <c r="E828" s="413"/>
      <c r="F828" s="413"/>
      <c r="G828" s="413"/>
      <c r="H828" s="413"/>
      <c r="I828" s="413"/>
      <c r="J828" s="413"/>
      <c r="K828" s="413"/>
      <c r="L828" s="413"/>
      <c r="M828" s="413"/>
      <c r="N828" s="413"/>
      <c r="O828" s="413"/>
      <c r="P828" s="413"/>
      <c r="Q828" s="413"/>
      <c r="R828" s="413"/>
      <c r="S828" s="413"/>
      <c r="T828" s="413"/>
      <c r="U828" s="413"/>
      <c r="V828" s="413"/>
      <c r="W828" s="413"/>
      <c r="X828" s="413"/>
      <c r="Y828" s="413"/>
      <c r="Z828" s="413"/>
    </row>
    <row r="829" ht="12.0" customHeight="1">
      <c r="A829" s="413"/>
      <c r="B829" s="413"/>
      <c r="C829" s="414"/>
      <c r="D829" s="413"/>
      <c r="E829" s="413"/>
      <c r="F829" s="413"/>
      <c r="G829" s="413"/>
      <c r="H829" s="413"/>
      <c r="I829" s="413"/>
      <c r="J829" s="413"/>
      <c r="K829" s="413"/>
      <c r="L829" s="413"/>
      <c r="M829" s="413"/>
      <c r="N829" s="413"/>
      <c r="O829" s="413"/>
      <c r="P829" s="413"/>
      <c r="Q829" s="413"/>
      <c r="R829" s="413"/>
      <c r="S829" s="413"/>
      <c r="T829" s="413"/>
      <c r="U829" s="413"/>
      <c r="V829" s="413"/>
      <c r="W829" s="413"/>
      <c r="X829" s="413"/>
      <c r="Y829" s="413"/>
      <c r="Z829" s="413"/>
    </row>
    <row r="830" ht="12.0" customHeight="1">
      <c r="A830" s="413"/>
      <c r="B830" s="413"/>
      <c r="C830" s="414"/>
      <c r="D830" s="413"/>
      <c r="E830" s="413"/>
      <c r="F830" s="413"/>
      <c r="G830" s="413"/>
      <c r="H830" s="413"/>
      <c r="I830" s="413"/>
      <c r="J830" s="413"/>
      <c r="K830" s="413"/>
      <c r="L830" s="413"/>
      <c r="M830" s="413"/>
      <c r="N830" s="413"/>
      <c r="O830" s="413"/>
      <c r="P830" s="413"/>
      <c r="Q830" s="413"/>
      <c r="R830" s="413"/>
      <c r="S830" s="413"/>
      <c r="T830" s="413"/>
      <c r="U830" s="413"/>
      <c r="V830" s="413"/>
      <c r="W830" s="413"/>
      <c r="X830" s="413"/>
      <c r="Y830" s="413"/>
      <c r="Z830" s="413"/>
    </row>
    <row r="831" ht="12.0" customHeight="1">
      <c r="A831" s="413"/>
      <c r="B831" s="413"/>
      <c r="C831" s="414"/>
      <c r="D831" s="413"/>
      <c r="E831" s="413"/>
      <c r="F831" s="413"/>
      <c r="G831" s="413"/>
      <c r="H831" s="413"/>
      <c r="I831" s="413"/>
      <c r="J831" s="413"/>
      <c r="K831" s="413"/>
      <c r="L831" s="413"/>
      <c r="M831" s="413"/>
      <c r="N831" s="413"/>
      <c r="O831" s="413"/>
      <c r="P831" s="413"/>
      <c r="Q831" s="413"/>
      <c r="R831" s="413"/>
      <c r="S831" s="413"/>
      <c r="T831" s="413"/>
      <c r="U831" s="413"/>
      <c r="V831" s="413"/>
      <c r="W831" s="413"/>
      <c r="X831" s="413"/>
      <c r="Y831" s="413"/>
      <c r="Z831" s="413"/>
    </row>
    <row r="832" ht="12.0" customHeight="1">
      <c r="A832" s="413"/>
      <c r="B832" s="413"/>
      <c r="C832" s="414"/>
      <c r="D832" s="413"/>
      <c r="E832" s="413"/>
      <c r="F832" s="413"/>
      <c r="G832" s="413"/>
      <c r="H832" s="413"/>
      <c r="I832" s="413"/>
      <c r="J832" s="413"/>
      <c r="K832" s="413"/>
      <c r="L832" s="413"/>
      <c r="M832" s="413"/>
      <c r="N832" s="413"/>
      <c r="O832" s="413"/>
      <c r="P832" s="413"/>
      <c r="Q832" s="413"/>
      <c r="R832" s="413"/>
      <c r="S832" s="413"/>
      <c r="T832" s="413"/>
      <c r="U832" s="413"/>
      <c r="V832" s="413"/>
      <c r="W832" s="413"/>
      <c r="X832" s="413"/>
      <c r="Y832" s="413"/>
      <c r="Z832" s="413"/>
    </row>
    <row r="833" ht="12.0" customHeight="1">
      <c r="A833" s="413"/>
      <c r="B833" s="413"/>
      <c r="C833" s="414"/>
      <c r="D833" s="413"/>
      <c r="E833" s="413"/>
      <c r="F833" s="413"/>
      <c r="G833" s="413"/>
      <c r="H833" s="413"/>
      <c r="I833" s="413"/>
      <c r="J833" s="413"/>
      <c r="K833" s="413"/>
      <c r="L833" s="413"/>
      <c r="M833" s="413"/>
      <c r="N833" s="413"/>
      <c r="O833" s="413"/>
      <c r="P833" s="413"/>
      <c r="Q833" s="413"/>
      <c r="R833" s="413"/>
      <c r="S833" s="413"/>
      <c r="T833" s="413"/>
      <c r="U833" s="413"/>
      <c r="V833" s="413"/>
      <c r="W833" s="413"/>
      <c r="X833" s="413"/>
      <c r="Y833" s="413"/>
      <c r="Z833" s="413"/>
    </row>
    <row r="834" ht="12.0" customHeight="1">
      <c r="A834" s="413"/>
      <c r="B834" s="413"/>
      <c r="C834" s="414"/>
      <c r="D834" s="413"/>
      <c r="E834" s="413"/>
      <c r="F834" s="413"/>
      <c r="G834" s="41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413"/>
      <c r="T834" s="413"/>
      <c r="U834" s="413"/>
      <c r="V834" s="413"/>
      <c r="W834" s="413"/>
      <c r="X834" s="413"/>
      <c r="Y834" s="413"/>
      <c r="Z834" s="413"/>
    </row>
    <row r="835" ht="12.0" customHeight="1">
      <c r="A835" s="413"/>
      <c r="B835" s="413"/>
      <c r="C835" s="414"/>
      <c r="D835" s="413"/>
      <c r="E835" s="413"/>
      <c r="F835" s="413"/>
      <c r="G835" s="413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  <c r="S835" s="413"/>
      <c r="T835" s="413"/>
      <c r="U835" s="413"/>
      <c r="V835" s="413"/>
      <c r="W835" s="413"/>
      <c r="X835" s="413"/>
      <c r="Y835" s="413"/>
      <c r="Z835" s="413"/>
    </row>
    <row r="836" ht="12.0" customHeight="1">
      <c r="A836" s="413"/>
      <c r="B836" s="413"/>
      <c r="C836" s="414"/>
      <c r="D836" s="413"/>
      <c r="E836" s="413"/>
      <c r="F836" s="413"/>
      <c r="G836" s="413"/>
      <c r="H836" s="413"/>
      <c r="I836" s="413"/>
      <c r="J836" s="413"/>
      <c r="K836" s="413"/>
      <c r="L836" s="413"/>
      <c r="M836" s="413"/>
      <c r="N836" s="413"/>
      <c r="O836" s="413"/>
      <c r="P836" s="413"/>
      <c r="Q836" s="413"/>
      <c r="R836" s="413"/>
      <c r="S836" s="413"/>
      <c r="T836" s="413"/>
      <c r="U836" s="413"/>
      <c r="V836" s="413"/>
      <c r="W836" s="413"/>
      <c r="X836" s="413"/>
      <c r="Y836" s="413"/>
      <c r="Z836" s="413"/>
    </row>
    <row r="837" ht="12.0" customHeight="1">
      <c r="A837" s="413"/>
      <c r="B837" s="413"/>
      <c r="C837" s="414"/>
      <c r="D837" s="413"/>
      <c r="E837" s="413"/>
      <c r="F837" s="413"/>
      <c r="G837" s="413"/>
      <c r="H837" s="413"/>
      <c r="I837" s="413"/>
      <c r="J837" s="413"/>
      <c r="K837" s="413"/>
      <c r="L837" s="413"/>
      <c r="M837" s="413"/>
      <c r="N837" s="413"/>
      <c r="O837" s="413"/>
      <c r="P837" s="413"/>
      <c r="Q837" s="413"/>
      <c r="R837" s="413"/>
      <c r="S837" s="413"/>
      <c r="T837" s="413"/>
      <c r="U837" s="413"/>
      <c r="V837" s="413"/>
      <c r="W837" s="413"/>
      <c r="X837" s="413"/>
      <c r="Y837" s="413"/>
      <c r="Z837" s="413"/>
    </row>
    <row r="838" ht="12.0" customHeight="1">
      <c r="A838" s="413"/>
      <c r="B838" s="413"/>
      <c r="C838" s="414"/>
      <c r="D838" s="413"/>
      <c r="E838" s="413"/>
      <c r="F838" s="413"/>
      <c r="G838" s="413"/>
      <c r="H838" s="413"/>
      <c r="I838" s="413"/>
      <c r="J838" s="413"/>
      <c r="K838" s="413"/>
      <c r="L838" s="413"/>
      <c r="M838" s="413"/>
      <c r="N838" s="413"/>
      <c r="O838" s="413"/>
      <c r="P838" s="413"/>
      <c r="Q838" s="413"/>
      <c r="R838" s="413"/>
      <c r="S838" s="413"/>
      <c r="T838" s="413"/>
      <c r="U838" s="413"/>
      <c r="V838" s="413"/>
      <c r="W838" s="413"/>
      <c r="X838" s="413"/>
      <c r="Y838" s="413"/>
      <c r="Z838" s="413"/>
    </row>
    <row r="839" ht="12.0" customHeight="1">
      <c r="A839" s="413"/>
      <c r="B839" s="413"/>
      <c r="C839" s="414"/>
      <c r="D839" s="413"/>
      <c r="E839" s="413"/>
      <c r="F839" s="413"/>
      <c r="G839" s="413"/>
      <c r="H839" s="413"/>
      <c r="I839" s="413"/>
      <c r="J839" s="413"/>
      <c r="K839" s="413"/>
      <c r="L839" s="413"/>
      <c r="M839" s="413"/>
      <c r="N839" s="413"/>
      <c r="O839" s="413"/>
      <c r="P839" s="413"/>
      <c r="Q839" s="413"/>
      <c r="R839" s="413"/>
      <c r="S839" s="413"/>
      <c r="T839" s="413"/>
      <c r="U839" s="413"/>
      <c r="V839" s="413"/>
      <c r="W839" s="413"/>
      <c r="X839" s="413"/>
      <c r="Y839" s="413"/>
      <c r="Z839" s="413"/>
    </row>
    <row r="840" ht="12.0" customHeight="1">
      <c r="A840" s="413"/>
      <c r="B840" s="413"/>
      <c r="C840" s="414"/>
      <c r="D840" s="413"/>
      <c r="E840" s="413"/>
      <c r="F840" s="413"/>
      <c r="G840" s="413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  <c r="T840" s="413"/>
      <c r="U840" s="413"/>
      <c r="V840" s="413"/>
      <c r="W840" s="413"/>
      <c r="X840" s="413"/>
      <c r="Y840" s="413"/>
      <c r="Z840" s="413"/>
    </row>
    <row r="841" ht="12.0" customHeight="1">
      <c r="A841" s="413"/>
      <c r="B841" s="413"/>
      <c r="C841" s="414"/>
      <c r="D841" s="413"/>
      <c r="E841" s="413"/>
      <c r="F841" s="413"/>
      <c r="G841" s="413"/>
      <c r="H841" s="413"/>
      <c r="I841" s="413"/>
      <c r="J841" s="413"/>
      <c r="K841" s="413"/>
      <c r="L841" s="413"/>
      <c r="M841" s="413"/>
      <c r="N841" s="413"/>
      <c r="O841" s="413"/>
      <c r="P841" s="413"/>
      <c r="Q841" s="413"/>
      <c r="R841" s="413"/>
      <c r="S841" s="413"/>
      <c r="T841" s="413"/>
      <c r="U841" s="413"/>
      <c r="V841" s="413"/>
      <c r="W841" s="413"/>
      <c r="X841" s="413"/>
      <c r="Y841" s="413"/>
      <c r="Z841" s="413"/>
    </row>
    <row r="842" ht="12.0" customHeight="1">
      <c r="A842" s="413"/>
      <c r="B842" s="413"/>
      <c r="C842" s="414"/>
      <c r="D842" s="413"/>
      <c r="E842" s="413"/>
      <c r="F842" s="413"/>
      <c r="G842" s="413"/>
      <c r="H842" s="413"/>
      <c r="I842" s="413"/>
      <c r="J842" s="413"/>
      <c r="K842" s="413"/>
      <c r="L842" s="413"/>
      <c r="M842" s="413"/>
      <c r="N842" s="413"/>
      <c r="O842" s="413"/>
      <c r="P842" s="413"/>
      <c r="Q842" s="413"/>
      <c r="R842" s="413"/>
      <c r="S842" s="413"/>
      <c r="T842" s="413"/>
      <c r="U842" s="413"/>
      <c r="V842" s="413"/>
      <c r="W842" s="413"/>
      <c r="X842" s="413"/>
      <c r="Y842" s="413"/>
      <c r="Z842" s="413"/>
    </row>
    <row r="843" ht="12.0" customHeight="1">
      <c r="A843" s="413"/>
      <c r="B843" s="413"/>
      <c r="C843" s="414"/>
      <c r="D843" s="413"/>
      <c r="E843" s="413"/>
      <c r="F843" s="413"/>
      <c r="G843" s="413"/>
      <c r="H843" s="413"/>
      <c r="I843" s="413"/>
      <c r="J843" s="413"/>
      <c r="K843" s="413"/>
      <c r="L843" s="413"/>
      <c r="M843" s="413"/>
      <c r="N843" s="413"/>
      <c r="O843" s="413"/>
      <c r="P843" s="413"/>
      <c r="Q843" s="413"/>
      <c r="R843" s="413"/>
      <c r="S843" s="413"/>
      <c r="T843" s="413"/>
      <c r="U843" s="413"/>
      <c r="V843" s="413"/>
      <c r="W843" s="413"/>
      <c r="X843" s="413"/>
      <c r="Y843" s="413"/>
      <c r="Z843" s="413"/>
    </row>
    <row r="844" ht="12.0" customHeight="1">
      <c r="A844" s="413"/>
      <c r="B844" s="413"/>
      <c r="C844" s="414"/>
      <c r="D844" s="413"/>
      <c r="E844" s="413"/>
      <c r="F844" s="413"/>
      <c r="G844" s="413"/>
      <c r="H844" s="413"/>
      <c r="I844" s="413"/>
      <c r="J844" s="413"/>
      <c r="K844" s="413"/>
      <c r="L844" s="413"/>
      <c r="M844" s="413"/>
      <c r="N844" s="413"/>
      <c r="O844" s="413"/>
      <c r="P844" s="413"/>
      <c r="Q844" s="413"/>
      <c r="R844" s="413"/>
      <c r="S844" s="413"/>
      <c r="T844" s="413"/>
      <c r="U844" s="413"/>
      <c r="V844" s="413"/>
      <c r="W844" s="413"/>
      <c r="X844" s="413"/>
      <c r="Y844" s="413"/>
      <c r="Z844" s="413"/>
    </row>
    <row r="845" ht="12.0" customHeight="1">
      <c r="A845" s="413"/>
      <c r="B845" s="413"/>
      <c r="C845" s="414"/>
      <c r="D845" s="413"/>
      <c r="E845" s="413"/>
      <c r="F845" s="413"/>
      <c r="G845" s="413"/>
      <c r="H845" s="413"/>
      <c r="I845" s="413"/>
      <c r="J845" s="413"/>
      <c r="K845" s="413"/>
      <c r="L845" s="413"/>
      <c r="M845" s="413"/>
      <c r="N845" s="413"/>
      <c r="O845" s="413"/>
      <c r="P845" s="413"/>
      <c r="Q845" s="413"/>
      <c r="R845" s="413"/>
      <c r="S845" s="413"/>
      <c r="T845" s="413"/>
      <c r="U845" s="413"/>
      <c r="V845" s="413"/>
      <c r="W845" s="413"/>
      <c r="X845" s="413"/>
      <c r="Y845" s="413"/>
      <c r="Z845" s="413"/>
    </row>
    <row r="846" ht="12.0" customHeight="1">
      <c r="A846" s="413"/>
      <c r="B846" s="413"/>
      <c r="C846" s="414"/>
      <c r="D846" s="413"/>
      <c r="E846" s="413"/>
      <c r="F846" s="413"/>
      <c r="G846" s="413"/>
      <c r="H846" s="413"/>
      <c r="I846" s="413"/>
      <c r="J846" s="413"/>
      <c r="K846" s="413"/>
      <c r="L846" s="413"/>
      <c r="M846" s="413"/>
      <c r="N846" s="413"/>
      <c r="O846" s="413"/>
      <c r="P846" s="413"/>
      <c r="Q846" s="413"/>
      <c r="R846" s="413"/>
      <c r="S846" s="413"/>
      <c r="T846" s="413"/>
      <c r="U846" s="413"/>
      <c r="V846" s="413"/>
      <c r="W846" s="413"/>
      <c r="X846" s="413"/>
      <c r="Y846" s="413"/>
      <c r="Z846" s="413"/>
    </row>
    <row r="847" ht="12.0" customHeight="1">
      <c r="A847" s="413"/>
      <c r="B847" s="413"/>
      <c r="C847" s="414"/>
      <c r="D847" s="413"/>
      <c r="E847" s="413"/>
      <c r="F847" s="413"/>
      <c r="G847" s="413"/>
      <c r="H847" s="413"/>
      <c r="I847" s="413"/>
      <c r="J847" s="413"/>
      <c r="K847" s="413"/>
      <c r="L847" s="413"/>
      <c r="M847" s="413"/>
      <c r="N847" s="413"/>
      <c r="O847" s="413"/>
      <c r="P847" s="413"/>
      <c r="Q847" s="413"/>
      <c r="R847" s="413"/>
      <c r="S847" s="413"/>
      <c r="T847" s="413"/>
      <c r="U847" s="413"/>
      <c r="V847" s="413"/>
      <c r="W847" s="413"/>
      <c r="X847" s="413"/>
      <c r="Y847" s="413"/>
      <c r="Z847" s="413"/>
    </row>
    <row r="848" ht="12.0" customHeight="1">
      <c r="A848" s="413"/>
      <c r="B848" s="413"/>
      <c r="C848" s="414"/>
      <c r="D848" s="413"/>
      <c r="E848" s="413"/>
      <c r="F848" s="413"/>
      <c r="G848" s="413"/>
      <c r="H848" s="413"/>
      <c r="I848" s="413"/>
      <c r="J848" s="413"/>
      <c r="K848" s="413"/>
      <c r="L848" s="413"/>
      <c r="M848" s="413"/>
      <c r="N848" s="413"/>
      <c r="O848" s="413"/>
      <c r="P848" s="413"/>
      <c r="Q848" s="413"/>
      <c r="R848" s="413"/>
      <c r="S848" s="413"/>
      <c r="T848" s="413"/>
      <c r="U848" s="413"/>
      <c r="V848" s="413"/>
      <c r="W848" s="413"/>
      <c r="X848" s="413"/>
      <c r="Y848" s="413"/>
      <c r="Z848" s="413"/>
    </row>
    <row r="849" ht="12.0" customHeight="1">
      <c r="A849" s="413"/>
      <c r="B849" s="413"/>
      <c r="C849" s="414"/>
      <c r="D849" s="413"/>
      <c r="E849" s="413"/>
      <c r="F849" s="413"/>
      <c r="G849" s="413"/>
      <c r="H849" s="413"/>
      <c r="I849" s="413"/>
      <c r="J849" s="413"/>
      <c r="K849" s="413"/>
      <c r="L849" s="413"/>
      <c r="M849" s="413"/>
      <c r="N849" s="413"/>
      <c r="O849" s="413"/>
      <c r="P849" s="413"/>
      <c r="Q849" s="413"/>
      <c r="R849" s="413"/>
      <c r="S849" s="413"/>
      <c r="T849" s="413"/>
      <c r="U849" s="413"/>
      <c r="V849" s="413"/>
      <c r="W849" s="413"/>
      <c r="X849" s="413"/>
      <c r="Y849" s="413"/>
      <c r="Z849" s="413"/>
    </row>
    <row r="850" ht="12.0" customHeight="1">
      <c r="A850" s="413"/>
      <c r="B850" s="413"/>
      <c r="C850" s="414"/>
      <c r="D850" s="413"/>
      <c r="E850" s="413"/>
      <c r="F850" s="413"/>
      <c r="G850" s="413"/>
      <c r="H850" s="413"/>
      <c r="I850" s="413"/>
      <c r="J850" s="413"/>
      <c r="K850" s="413"/>
      <c r="L850" s="413"/>
      <c r="M850" s="413"/>
      <c r="N850" s="413"/>
      <c r="O850" s="413"/>
      <c r="P850" s="413"/>
      <c r="Q850" s="413"/>
      <c r="R850" s="413"/>
      <c r="S850" s="413"/>
      <c r="T850" s="413"/>
      <c r="U850" s="413"/>
      <c r="V850" s="413"/>
      <c r="W850" s="413"/>
      <c r="X850" s="413"/>
      <c r="Y850" s="413"/>
      <c r="Z850" s="413"/>
    </row>
    <row r="851" ht="12.0" customHeight="1">
      <c r="A851" s="413"/>
      <c r="B851" s="413"/>
      <c r="C851" s="414"/>
      <c r="D851" s="413"/>
      <c r="E851" s="413"/>
      <c r="F851" s="413"/>
      <c r="G851" s="413"/>
      <c r="H851" s="413"/>
      <c r="I851" s="413"/>
      <c r="J851" s="413"/>
      <c r="K851" s="413"/>
      <c r="L851" s="413"/>
      <c r="M851" s="413"/>
      <c r="N851" s="413"/>
      <c r="O851" s="413"/>
      <c r="P851" s="413"/>
      <c r="Q851" s="413"/>
      <c r="R851" s="413"/>
      <c r="S851" s="413"/>
      <c r="T851" s="413"/>
      <c r="U851" s="413"/>
      <c r="V851" s="413"/>
      <c r="W851" s="413"/>
      <c r="X851" s="413"/>
      <c r="Y851" s="413"/>
      <c r="Z851" s="413"/>
    </row>
    <row r="852" ht="12.0" customHeight="1">
      <c r="A852" s="413"/>
      <c r="B852" s="413"/>
      <c r="C852" s="414"/>
      <c r="D852" s="413"/>
      <c r="E852" s="413"/>
      <c r="F852" s="413"/>
      <c r="G852" s="413"/>
      <c r="H852" s="413"/>
      <c r="I852" s="413"/>
      <c r="J852" s="413"/>
      <c r="K852" s="413"/>
      <c r="L852" s="413"/>
      <c r="M852" s="413"/>
      <c r="N852" s="413"/>
      <c r="O852" s="413"/>
      <c r="P852" s="413"/>
      <c r="Q852" s="413"/>
      <c r="R852" s="413"/>
      <c r="S852" s="413"/>
      <c r="T852" s="413"/>
      <c r="U852" s="413"/>
      <c r="V852" s="413"/>
      <c r="W852" s="413"/>
      <c r="X852" s="413"/>
      <c r="Y852" s="413"/>
      <c r="Z852" s="413"/>
    </row>
    <row r="853" ht="12.0" customHeight="1">
      <c r="A853" s="413"/>
      <c r="B853" s="413"/>
      <c r="C853" s="414"/>
      <c r="D853" s="413"/>
      <c r="E853" s="413"/>
      <c r="F853" s="413"/>
      <c r="G853" s="413"/>
      <c r="H853" s="413"/>
      <c r="I853" s="413"/>
      <c r="J853" s="413"/>
      <c r="K853" s="413"/>
      <c r="L853" s="413"/>
      <c r="M853" s="413"/>
      <c r="N853" s="413"/>
      <c r="O853" s="413"/>
      <c r="P853" s="413"/>
      <c r="Q853" s="413"/>
      <c r="R853" s="413"/>
      <c r="S853" s="413"/>
      <c r="T853" s="413"/>
      <c r="U853" s="413"/>
      <c r="V853" s="413"/>
      <c r="W853" s="413"/>
      <c r="X853" s="413"/>
      <c r="Y853" s="413"/>
      <c r="Z853" s="413"/>
    </row>
    <row r="854" ht="12.0" customHeight="1">
      <c r="A854" s="413"/>
      <c r="B854" s="413"/>
      <c r="C854" s="414"/>
      <c r="D854" s="413"/>
      <c r="E854" s="413"/>
      <c r="F854" s="413"/>
      <c r="G854" s="413"/>
      <c r="H854" s="413"/>
      <c r="I854" s="413"/>
      <c r="J854" s="413"/>
      <c r="K854" s="413"/>
      <c r="L854" s="413"/>
      <c r="M854" s="413"/>
      <c r="N854" s="413"/>
      <c r="O854" s="413"/>
      <c r="P854" s="413"/>
      <c r="Q854" s="413"/>
      <c r="R854" s="413"/>
      <c r="S854" s="413"/>
      <c r="T854" s="413"/>
      <c r="U854" s="413"/>
      <c r="V854" s="413"/>
      <c r="W854" s="413"/>
      <c r="X854" s="413"/>
      <c r="Y854" s="413"/>
      <c r="Z854" s="413"/>
    </row>
    <row r="855" ht="12.0" customHeight="1">
      <c r="A855" s="413"/>
      <c r="B855" s="413"/>
      <c r="C855" s="414"/>
      <c r="D855" s="413"/>
      <c r="E855" s="413"/>
      <c r="F855" s="413"/>
      <c r="G855" s="413"/>
      <c r="H855" s="413"/>
      <c r="I855" s="413"/>
      <c r="J855" s="413"/>
      <c r="K855" s="413"/>
      <c r="L855" s="413"/>
      <c r="M855" s="413"/>
      <c r="N855" s="413"/>
      <c r="O855" s="413"/>
      <c r="P855" s="413"/>
      <c r="Q855" s="413"/>
      <c r="R855" s="413"/>
      <c r="S855" s="413"/>
      <c r="T855" s="413"/>
      <c r="U855" s="413"/>
      <c r="V855" s="413"/>
      <c r="W855" s="413"/>
      <c r="X855" s="413"/>
      <c r="Y855" s="413"/>
      <c r="Z855" s="413"/>
    </row>
    <row r="856" ht="12.0" customHeight="1">
      <c r="A856" s="413"/>
      <c r="B856" s="413"/>
      <c r="C856" s="414"/>
      <c r="D856" s="413"/>
      <c r="E856" s="413"/>
      <c r="F856" s="413"/>
      <c r="G856" s="413"/>
      <c r="H856" s="413"/>
      <c r="I856" s="413"/>
      <c r="J856" s="413"/>
      <c r="K856" s="413"/>
      <c r="L856" s="413"/>
      <c r="M856" s="413"/>
      <c r="N856" s="413"/>
      <c r="O856" s="413"/>
      <c r="P856" s="413"/>
      <c r="Q856" s="413"/>
      <c r="R856" s="413"/>
      <c r="S856" s="413"/>
      <c r="T856" s="413"/>
      <c r="U856" s="413"/>
      <c r="V856" s="413"/>
      <c r="W856" s="413"/>
      <c r="X856" s="413"/>
      <c r="Y856" s="413"/>
      <c r="Z856" s="413"/>
    </row>
    <row r="857" ht="12.0" customHeight="1">
      <c r="A857" s="413"/>
      <c r="B857" s="413"/>
      <c r="C857" s="414"/>
      <c r="D857" s="413"/>
      <c r="E857" s="413"/>
      <c r="F857" s="413"/>
      <c r="G857" s="413"/>
      <c r="H857" s="413"/>
      <c r="I857" s="413"/>
      <c r="J857" s="413"/>
      <c r="K857" s="413"/>
      <c r="L857" s="413"/>
      <c r="M857" s="413"/>
      <c r="N857" s="413"/>
      <c r="O857" s="413"/>
      <c r="P857" s="413"/>
      <c r="Q857" s="413"/>
      <c r="R857" s="413"/>
      <c r="S857" s="413"/>
      <c r="T857" s="413"/>
      <c r="U857" s="413"/>
      <c r="V857" s="413"/>
      <c r="W857" s="413"/>
      <c r="X857" s="413"/>
      <c r="Y857" s="413"/>
      <c r="Z857" s="413"/>
    </row>
    <row r="858" ht="12.0" customHeight="1">
      <c r="A858" s="413"/>
      <c r="B858" s="413"/>
      <c r="C858" s="414"/>
      <c r="D858" s="413"/>
      <c r="E858" s="413"/>
      <c r="F858" s="413"/>
      <c r="G858" s="413"/>
      <c r="H858" s="413"/>
      <c r="I858" s="413"/>
      <c r="J858" s="413"/>
      <c r="K858" s="413"/>
      <c r="L858" s="413"/>
      <c r="M858" s="413"/>
      <c r="N858" s="413"/>
      <c r="O858" s="413"/>
      <c r="P858" s="413"/>
      <c r="Q858" s="413"/>
      <c r="R858" s="413"/>
      <c r="S858" s="413"/>
      <c r="T858" s="413"/>
      <c r="U858" s="413"/>
      <c r="V858" s="413"/>
      <c r="W858" s="413"/>
      <c r="X858" s="413"/>
      <c r="Y858" s="413"/>
      <c r="Z858" s="413"/>
    </row>
    <row r="859" ht="12.0" customHeight="1">
      <c r="A859" s="413"/>
      <c r="B859" s="413"/>
      <c r="C859" s="414"/>
      <c r="D859" s="413"/>
      <c r="E859" s="413"/>
      <c r="F859" s="413"/>
      <c r="G859" s="413"/>
      <c r="H859" s="413"/>
      <c r="I859" s="413"/>
      <c r="J859" s="413"/>
      <c r="K859" s="413"/>
      <c r="L859" s="413"/>
      <c r="M859" s="413"/>
      <c r="N859" s="413"/>
      <c r="O859" s="413"/>
      <c r="P859" s="413"/>
      <c r="Q859" s="413"/>
      <c r="R859" s="413"/>
      <c r="S859" s="413"/>
      <c r="T859" s="413"/>
      <c r="U859" s="413"/>
      <c r="V859" s="413"/>
      <c r="W859" s="413"/>
      <c r="X859" s="413"/>
      <c r="Y859" s="413"/>
      <c r="Z859" s="413"/>
    </row>
    <row r="860" ht="12.0" customHeight="1">
      <c r="A860" s="413"/>
      <c r="B860" s="413"/>
      <c r="C860" s="414"/>
      <c r="D860" s="413"/>
      <c r="E860" s="413"/>
      <c r="F860" s="413"/>
      <c r="G860" s="413"/>
      <c r="H860" s="413"/>
      <c r="I860" s="413"/>
      <c r="J860" s="413"/>
      <c r="K860" s="413"/>
      <c r="L860" s="413"/>
      <c r="M860" s="413"/>
      <c r="N860" s="413"/>
      <c r="O860" s="413"/>
      <c r="P860" s="413"/>
      <c r="Q860" s="413"/>
      <c r="R860" s="413"/>
      <c r="S860" s="413"/>
      <c r="T860" s="413"/>
      <c r="U860" s="413"/>
      <c r="V860" s="413"/>
      <c r="W860" s="413"/>
      <c r="X860" s="413"/>
      <c r="Y860" s="413"/>
      <c r="Z860" s="413"/>
    </row>
    <row r="861" ht="12.0" customHeight="1">
      <c r="A861" s="413"/>
      <c r="B861" s="413"/>
      <c r="C861" s="414"/>
      <c r="D861" s="413"/>
      <c r="E861" s="413"/>
      <c r="F861" s="413"/>
      <c r="G861" s="413"/>
      <c r="H861" s="413"/>
      <c r="I861" s="413"/>
      <c r="J861" s="413"/>
      <c r="K861" s="413"/>
      <c r="L861" s="413"/>
      <c r="M861" s="413"/>
      <c r="N861" s="413"/>
      <c r="O861" s="413"/>
      <c r="P861" s="413"/>
      <c r="Q861" s="413"/>
      <c r="R861" s="413"/>
      <c r="S861" s="413"/>
      <c r="T861" s="413"/>
      <c r="U861" s="413"/>
      <c r="V861" s="413"/>
      <c r="W861" s="413"/>
      <c r="X861" s="413"/>
      <c r="Y861" s="413"/>
      <c r="Z861" s="413"/>
    </row>
    <row r="862" ht="12.0" customHeight="1">
      <c r="A862" s="413"/>
      <c r="B862" s="413"/>
      <c r="C862" s="414"/>
      <c r="D862" s="413"/>
      <c r="E862" s="413"/>
      <c r="F862" s="413"/>
      <c r="G862" s="413"/>
      <c r="H862" s="413"/>
      <c r="I862" s="413"/>
      <c r="J862" s="413"/>
      <c r="K862" s="413"/>
      <c r="L862" s="413"/>
      <c r="M862" s="413"/>
      <c r="N862" s="413"/>
      <c r="O862" s="413"/>
      <c r="P862" s="413"/>
      <c r="Q862" s="413"/>
      <c r="R862" s="413"/>
      <c r="S862" s="413"/>
      <c r="T862" s="413"/>
      <c r="U862" s="413"/>
      <c r="V862" s="413"/>
      <c r="W862" s="413"/>
      <c r="X862" s="413"/>
      <c r="Y862" s="413"/>
      <c r="Z862" s="413"/>
    </row>
    <row r="863" ht="12.0" customHeight="1">
      <c r="A863" s="413"/>
      <c r="B863" s="413"/>
      <c r="C863" s="414"/>
      <c r="D863" s="413"/>
      <c r="E863" s="413"/>
      <c r="F863" s="413"/>
      <c r="G863" s="413"/>
      <c r="H863" s="413"/>
      <c r="I863" s="413"/>
      <c r="J863" s="413"/>
      <c r="K863" s="413"/>
      <c r="L863" s="413"/>
      <c r="M863" s="413"/>
      <c r="N863" s="413"/>
      <c r="O863" s="413"/>
      <c r="P863" s="413"/>
      <c r="Q863" s="413"/>
      <c r="R863" s="413"/>
      <c r="S863" s="413"/>
      <c r="T863" s="413"/>
      <c r="U863" s="413"/>
      <c r="V863" s="413"/>
      <c r="W863" s="413"/>
      <c r="X863" s="413"/>
      <c r="Y863" s="413"/>
      <c r="Z863" s="413"/>
    </row>
    <row r="864" ht="12.0" customHeight="1">
      <c r="A864" s="413"/>
      <c r="B864" s="413"/>
      <c r="C864" s="414"/>
      <c r="D864" s="413"/>
      <c r="E864" s="413"/>
      <c r="F864" s="413"/>
      <c r="G864" s="413"/>
      <c r="H864" s="413"/>
      <c r="I864" s="413"/>
      <c r="J864" s="413"/>
      <c r="K864" s="413"/>
      <c r="L864" s="413"/>
      <c r="M864" s="413"/>
      <c r="N864" s="413"/>
      <c r="O864" s="413"/>
      <c r="P864" s="413"/>
      <c r="Q864" s="413"/>
      <c r="R864" s="413"/>
      <c r="S864" s="413"/>
      <c r="T864" s="413"/>
      <c r="U864" s="413"/>
      <c r="V864" s="413"/>
      <c r="W864" s="413"/>
      <c r="X864" s="413"/>
      <c r="Y864" s="413"/>
      <c r="Z864" s="413"/>
    </row>
    <row r="865" ht="12.0" customHeight="1">
      <c r="A865" s="413"/>
      <c r="B865" s="413"/>
      <c r="C865" s="414"/>
      <c r="D865" s="413"/>
      <c r="E865" s="413"/>
      <c r="F865" s="413"/>
      <c r="G865" s="413"/>
      <c r="H865" s="413"/>
      <c r="I865" s="413"/>
      <c r="J865" s="413"/>
      <c r="K865" s="413"/>
      <c r="L865" s="413"/>
      <c r="M865" s="413"/>
      <c r="N865" s="413"/>
      <c r="O865" s="413"/>
      <c r="P865" s="413"/>
      <c r="Q865" s="413"/>
      <c r="R865" s="413"/>
      <c r="S865" s="413"/>
      <c r="T865" s="413"/>
      <c r="U865" s="413"/>
      <c r="V865" s="413"/>
      <c r="W865" s="413"/>
      <c r="X865" s="413"/>
      <c r="Y865" s="413"/>
      <c r="Z865" s="413"/>
    </row>
    <row r="866" ht="12.0" customHeight="1">
      <c r="A866" s="413"/>
      <c r="B866" s="413"/>
      <c r="C866" s="414"/>
      <c r="D866" s="413"/>
      <c r="E866" s="413"/>
      <c r="F866" s="413"/>
      <c r="G866" s="413"/>
      <c r="H866" s="413"/>
      <c r="I866" s="413"/>
      <c r="J866" s="413"/>
      <c r="K866" s="413"/>
      <c r="L866" s="413"/>
      <c r="M866" s="413"/>
      <c r="N866" s="413"/>
      <c r="O866" s="413"/>
      <c r="P866" s="413"/>
      <c r="Q866" s="413"/>
      <c r="R866" s="413"/>
      <c r="S866" s="413"/>
      <c r="T866" s="413"/>
      <c r="U866" s="413"/>
      <c r="V866" s="413"/>
      <c r="W866" s="413"/>
      <c r="X866" s="413"/>
      <c r="Y866" s="413"/>
      <c r="Z866" s="413"/>
    </row>
    <row r="867" ht="12.0" customHeight="1">
      <c r="A867" s="413"/>
      <c r="B867" s="413"/>
      <c r="C867" s="414"/>
      <c r="D867" s="413"/>
      <c r="E867" s="413"/>
      <c r="F867" s="413"/>
      <c r="G867" s="413"/>
      <c r="H867" s="413"/>
      <c r="I867" s="413"/>
      <c r="J867" s="413"/>
      <c r="K867" s="413"/>
      <c r="L867" s="413"/>
      <c r="M867" s="413"/>
      <c r="N867" s="413"/>
      <c r="O867" s="413"/>
      <c r="P867" s="413"/>
      <c r="Q867" s="413"/>
      <c r="R867" s="413"/>
      <c r="S867" s="413"/>
      <c r="T867" s="413"/>
      <c r="U867" s="413"/>
      <c r="V867" s="413"/>
      <c r="W867" s="413"/>
      <c r="X867" s="413"/>
      <c r="Y867" s="413"/>
      <c r="Z867" s="413"/>
    </row>
    <row r="868" ht="12.0" customHeight="1">
      <c r="A868" s="413"/>
      <c r="B868" s="413"/>
      <c r="C868" s="414"/>
      <c r="D868" s="413"/>
      <c r="E868" s="413"/>
      <c r="F868" s="413"/>
      <c r="G868" s="413"/>
      <c r="H868" s="413"/>
      <c r="I868" s="413"/>
      <c r="J868" s="413"/>
      <c r="K868" s="413"/>
      <c r="L868" s="413"/>
      <c r="M868" s="413"/>
      <c r="N868" s="413"/>
      <c r="O868" s="413"/>
      <c r="P868" s="413"/>
      <c r="Q868" s="413"/>
      <c r="R868" s="413"/>
      <c r="S868" s="413"/>
      <c r="T868" s="413"/>
      <c r="U868" s="413"/>
      <c r="V868" s="413"/>
      <c r="W868" s="413"/>
      <c r="X868" s="413"/>
      <c r="Y868" s="413"/>
      <c r="Z868" s="413"/>
    </row>
    <row r="869" ht="12.0" customHeight="1">
      <c r="A869" s="413"/>
      <c r="B869" s="413"/>
      <c r="C869" s="414"/>
      <c r="D869" s="413"/>
      <c r="E869" s="413"/>
      <c r="F869" s="413"/>
      <c r="G869" s="413"/>
      <c r="H869" s="413"/>
      <c r="I869" s="413"/>
      <c r="J869" s="413"/>
      <c r="K869" s="413"/>
      <c r="L869" s="413"/>
      <c r="M869" s="413"/>
      <c r="N869" s="413"/>
      <c r="O869" s="413"/>
      <c r="P869" s="413"/>
      <c r="Q869" s="413"/>
      <c r="R869" s="413"/>
      <c r="S869" s="413"/>
      <c r="T869" s="413"/>
      <c r="U869" s="413"/>
      <c r="V869" s="413"/>
      <c r="W869" s="413"/>
      <c r="X869" s="413"/>
      <c r="Y869" s="413"/>
      <c r="Z869" s="413"/>
    </row>
    <row r="870" ht="12.0" customHeight="1">
      <c r="A870" s="413"/>
      <c r="B870" s="413"/>
      <c r="C870" s="414"/>
      <c r="D870" s="413"/>
      <c r="E870" s="413"/>
      <c r="F870" s="413"/>
      <c r="G870" s="413"/>
      <c r="H870" s="413"/>
      <c r="I870" s="413"/>
      <c r="J870" s="413"/>
      <c r="K870" s="413"/>
      <c r="L870" s="413"/>
      <c r="M870" s="413"/>
      <c r="N870" s="413"/>
      <c r="O870" s="413"/>
      <c r="P870" s="413"/>
      <c r="Q870" s="413"/>
      <c r="R870" s="413"/>
      <c r="S870" s="413"/>
      <c r="T870" s="413"/>
      <c r="U870" s="413"/>
      <c r="V870" s="413"/>
      <c r="W870" s="413"/>
      <c r="X870" s="413"/>
      <c r="Y870" s="413"/>
      <c r="Z870" s="413"/>
    </row>
    <row r="871" ht="12.0" customHeight="1">
      <c r="A871" s="413"/>
      <c r="B871" s="413"/>
      <c r="C871" s="414"/>
      <c r="D871" s="413"/>
      <c r="E871" s="413"/>
      <c r="F871" s="413"/>
      <c r="G871" s="413"/>
      <c r="H871" s="413"/>
      <c r="I871" s="413"/>
      <c r="J871" s="413"/>
      <c r="K871" s="413"/>
      <c r="L871" s="413"/>
      <c r="M871" s="413"/>
      <c r="N871" s="413"/>
      <c r="O871" s="413"/>
      <c r="P871" s="413"/>
      <c r="Q871" s="413"/>
      <c r="R871" s="413"/>
      <c r="S871" s="413"/>
      <c r="T871" s="413"/>
      <c r="U871" s="413"/>
      <c r="V871" s="413"/>
      <c r="W871" s="413"/>
      <c r="X871" s="413"/>
      <c r="Y871" s="413"/>
      <c r="Z871" s="413"/>
    </row>
    <row r="872" ht="12.0" customHeight="1">
      <c r="A872" s="413"/>
      <c r="B872" s="413"/>
      <c r="C872" s="414"/>
      <c r="D872" s="413"/>
      <c r="E872" s="413"/>
      <c r="F872" s="413"/>
      <c r="G872" s="413"/>
      <c r="H872" s="413"/>
      <c r="I872" s="413"/>
      <c r="J872" s="413"/>
      <c r="K872" s="413"/>
      <c r="L872" s="413"/>
      <c r="M872" s="413"/>
      <c r="N872" s="413"/>
      <c r="O872" s="413"/>
      <c r="P872" s="413"/>
      <c r="Q872" s="413"/>
      <c r="R872" s="413"/>
      <c r="S872" s="413"/>
      <c r="T872" s="413"/>
      <c r="U872" s="413"/>
      <c r="V872" s="413"/>
      <c r="W872" s="413"/>
      <c r="X872" s="413"/>
      <c r="Y872" s="413"/>
      <c r="Z872" s="413"/>
    </row>
    <row r="873" ht="12.0" customHeight="1">
      <c r="A873" s="413"/>
      <c r="B873" s="413"/>
      <c r="C873" s="414"/>
      <c r="D873" s="413"/>
      <c r="E873" s="413"/>
      <c r="F873" s="413"/>
      <c r="G873" s="413"/>
      <c r="H873" s="413"/>
      <c r="I873" s="413"/>
      <c r="J873" s="413"/>
      <c r="K873" s="413"/>
      <c r="L873" s="413"/>
      <c r="M873" s="413"/>
      <c r="N873" s="413"/>
      <c r="O873" s="413"/>
      <c r="P873" s="413"/>
      <c r="Q873" s="413"/>
      <c r="R873" s="413"/>
      <c r="S873" s="413"/>
      <c r="T873" s="413"/>
      <c r="U873" s="413"/>
      <c r="V873" s="413"/>
      <c r="W873" s="413"/>
      <c r="X873" s="413"/>
      <c r="Y873" s="413"/>
      <c r="Z873" s="413"/>
    </row>
    <row r="874" ht="12.0" customHeight="1">
      <c r="A874" s="413"/>
      <c r="B874" s="413"/>
      <c r="C874" s="414"/>
      <c r="D874" s="413"/>
      <c r="E874" s="413"/>
      <c r="F874" s="413"/>
      <c r="G874" s="413"/>
      <c r="H874" s="413"/>
      <c r="I874" s="413"/>
      <c r="J874" s="413"/>
      <c r="K874" s="413"/>
      <c r="L874" s="413"/>
      <c r="M874" s="413"/>
      <c r="N874" s="413"/>
      <c r="O874" s="413"/>
      <c r="P874" s="413"/>
      <c r="Q874" s="413"/>
      <c r="R874" s="413"/>
      <c r="S874" s="413"/>
      <c r="T874" s="413"/>
      <c r="U874" s="413"/>
      <c r="V874" s="413"/>
      <c r="W874" s="413"/>
      <c r="X874" s="413"/>
      <c r="Y874" s="413"/>
      <c r="Z874" s="413"/>
    </row>
    <row r="875" ht="12.0" customHeight="1">
      <c r="A875" s="413"/>
      <c r="B875" s="413"/>
      <c r="C875" s="414"/>
      <c r="D875" s="413"/>
      <c r="E875" s="413"/>
      <c r="F875" s="413"/>
      <c r="G875" s="413"/>
      <c r="H875" s="413"/>
      <c r="I875" s="413"/>
      <c r="J875" s="413"/>
      <c r="K875" s="413"/>
      <c r="L875" s="413"/>
      <c r="M875" s="413"/>
      <c r="N875" s="413"/>
      <c r="O875" s="413"/>
      <c r="P875" s="413"/>
      <c r="Q875" s="413"/>
      <c r="R875" s="413"/>
      <c r="S875" s="413"/>
      <c r="T875" s="413"/>
      <c r="U875" s="413"/>
      <c r="V875" s="413"/>
      <c r="W875" s="413"/>
      <c r="X875" s="413"/>
      <c r="Y875" s="413"/>
      <c r="Z875" s="413"/>
    </row>
    <row r="876" ht="12.0" customHeight="1">
      <c r="A876" s="413"/>
      <c r="B876" s="413"/>
      <c r="C876" s="414"/>
      <c r="D876" s="413"/>
      <c r="E876" s="413"/>
      <c r="F876" s="413"/>
      <c r="G876" s="413"/>
      <c r="H876" s="413"/>
      <c r="I876" s="413"/>
      <c r="J876" s="413"/>
      <c r="K876" s="413"/>
      <c r="L876" s="413"/>
      <c r="M876" s="413"/>
      <c r="N876" s="413"/>
      <c r="O876" s="413"/>
      <c r="P876" s="413"/>
      <c r="Q876" s="413"/>
      <c r="R876" s="413"/>
      <c r="S876" s="413"/>
      <c r="T876" s="413"/>
      <c r="U876" s="413"/>
      <c r="V876" s="413"/>
      <c r="W876" s="413"/>
      <c r="X876" s="413"/>
      <c r="Y876" s="413"/>
      <c r="Z876" s="413"/>
    </row>
    <row r="877" ht="12.0" customHeight="1">
      <c r="A877" s="413"/>
      <c r="B877" s="413"/>
      <c r="C877" s="414"/>
      <c r="D877" s="413"/>
      <c r="E877" s="413"/>
      <c r="F877" s="413"/>
      <c r="G877" s="413"/>
      <c r="H877" s="413"/>
      <c r="I877" s="413"/>
      <c r="J877" s="413"/>
      <c r="K877" s="413"/>
      <c r="L877" s="413"/>
      <c r="M877" s="413"/>
      <c r="N877" s="413"/>
      <c r="O877" s="413"/>
      <c r="P877" s="413"/>
      <c r="Q877" s="413"/>
      <c r="R877" s="413"/>
      <c r="S877" s="413"/>
      <c r="T877" s="413"/>
      <c r="U877" s="413"/>
      <c r="V877" s="413"/>
      <c r="W877" s="413"/>
      <c r="X877" s="413"/>
      <c r="Y877" s="413"/>
      <c r="Z877" s="413"/>
    </row>
    <row r="878" ht="12.0" customHeight="1">
      <c r="A878" s="413"/>
      <c r="B878" s="413"/>
      <c r="C878" s="414"/>
      <c r="D878" s="413"/>
      <c r="E878" s="413"/>
      <c r="F878" s="413"/>
      <c r="G878" s="413"/>
      <c r="H878" s="413"/>
      <c r="I878" s="413"/>
      <c r="J878" s="413"/>
      <c r="K878" s="413"/>
      <c r="L878" s="413"/>
      <c r="M878" s="413"/>
      <c r="N878" s="413"/>
      <c r="O878" s="413"/>
      <c r="P878" s="413"/>
      <c r="Q878" s="413"/>
      <c r="R878" s="413"/>
      <c r="S878" s="413"/>
      <c r="T878" s="413"/>
      <c r="U878" s="413"/>
      <c r="V878" s="413"/>
      <c r="W878" s="413"/>
      <c r="X878" s="413"/>
      <c r="Y878" s="413"/>
      <c r="Z878" s="413"/>
    </row>
    <row r="879" ht="12.0" customHeight="1">
      <c r="A879" s="413"/>
      <c r="B879" s="413"/>
      <c r="C879" s="414"/>
      <c r="D879" s="413"/>
      <c r="E879" s="413"/>
      <c r="F879" s="413"/>
      <c r="G879" s="413"/>
      <c r="H879" s="413"/>
      <c r="I879" s="413"/>
      <c r="J879" s="413"/>
      <c r="K879" s="413"/>
      <c r="L879" s="413"/>
      <c r="M879" s="413"/>
      <c r="N879" s="413"/>
      <c r="O879" s="413"/>
      <c r="P879" s="413"/>
      <c r="Q879" s="413"/>
      <c r="R879" s="413"/>
      <c r="S879" s="413"/>
      <c r="T879" s="413"/>
      <c r="U879" s="413"/>
      <c r="V879" s="413"/>
      <c r="W879" s="413"/>
      <c r="X879" s="413"/>
      <c r="Y879" s="413"/>
      <c r="Z879" s="413"/>
    </row>
    <row r="880" ht="12.0" customHeight="1">
      <c r="A880" s="413"/>
      <c r="B880" s="413"/>
      <c r="C880" s="414"/>
      <c r="D880" s="413"/>
      <c r="E880" s="413"/>
      <c r="F880" s="413"/>
      <c r="G880" s="413"/>
      <c r="H880" s="413"/>
      <c r="I880" s="413"/>
      <c r="J880" s="413"/>
      <c r="K880" s="413"/>
      <c r="L880" s="413"/>
      <c r="M880" s="413"/>
      <c r="N880" s="413"/>
      <c r="O880" s="413"/>
      <c r="P880" s="413"/>
      <c r="Q880" s="413"/>
      <c r="R880" s="413"/>
      <c r="S880" s="413"/>
      <c r="T880" s="413"/>
      <c r="U880" s="413"/>
      <c r="V880" s="413"/>
      <c r="W880" s="413"/>
      <c r="X880" s="413"/>
      <c r="Y880" s="413"/>
      <c r="Z880" s="413"/>
    </row>
    <row r="881" ht="12.0" customHeight="1">
      <c r="A881" s="413"/>
      <c r="B881" s="413"/>
      <c r="C881" s="414"/>
      <c r="D881" s="413"/>
      <c r="E881" s="413"/>
      <c r="F881" s="413"/>
      <c r="G881" s="413"/>
      <c r="H881" s="413"/>
      <c r="I881" s="413"/>
      <c r="J881" s="413"/>
      <c r="K881" s="413"/>
      <c r="L881" s="413"/>
      <c r="M881" s="413"/>
      <c r="N881" s="413"/>
      <c r="O881" s="413"/>
      <c r="P881" s="413"/>
      <c r="Q881" s="413"/>
      <c r="R881" s="413"/>
      <c r="S881" s="413"/>
      <c r="T881" s="413"/>
      <c r="U881" s="413"/>
      <c r="V881" s="413"/>
      <c r="W881" s="413"/>
      <c r="X881" s="413"/>
      <c r="Y881" s="413"/>
      <c r="Z881" s="413"/>
    </row>
    <row r="882" ht="12.0" customHeight="1">
      <c r="A882" s="413"/>
      <c r="B882" s="413"/>
      <c r="C882" s="414"/>
      <c r="D882" s="413"/>
      <c r="E882" s="413"/>
      <c r="F882" s="413"/>
      <c r="G882" s="413"/>
      <c r="H882" s="413"/>
      <c r="I882" s="413"/>
      <c r="J882" s="413"/>
      <c r="K882" s="413"/>
      <c r="L882" s="413"/>
      <c r="M882" s="413"/>
      <c r="N882" s="413"/>
      <c r="O882" s="413"/>
      <c r="P882" s="413"/>
      <c r="Q882" s="413"/>
      <c r="R882" s="413"/>
      <c r="S882" s="413"/>
      <c r="T882" s="413"/>
      <c r="U882" s="413"/>
      <c r="V882" s="413"/>
      <c r="W882" s="413"/>
      <c r="X882" s="413"/>
      <c r="Y882" s="413"/>
      <c r="Z882" s="413"/>
    </row>
    <row r="883" ht="12.0" customHeight="1">
      <c r="A883" s="413"/>
      <c r="B883" s="413"/>
      <c r="C883" s="414"/>
      <c r="D883" s="413"/>
      <c r="E883" s="413"/>
      <c r="F883" s="413"/>
      <c r="G883" s="413"/>
      <c r="H883" s="413"/>
      <c r="I883" s="413"/>
      <c r="J883" s="413"/>
      <c r="K883" s="413"/>
      <c r="L883" s="413"/>
      <c r="M883" s="413"/>
      <c r="N883" s="413"/>
      <c r="O883" s="413"/>
      <c r="P883" s="413"/>
      <c r="Q883" s="413"/>
      <c r="R883" s="413"/>
      <c r="S883" s="413"/>
      <c r="T883" s="413"/>
      <c r="U883" s="413"/>
      <c r="V883" s="413"/>
      <c r="W883" s="413"/>
      <c r="X883" s="413"/>
      <c r="Y883" s="413"/>
      <c r="Z883" s="413"/>
    </row>
    <row r="884" ht="12.0" customHeight="1">
      <c r="A884" s="413"/>
      <c r="B884" s="413"/>
      <c r="C884" s="414"/>
      <c r="D884" s="413"/>
      <c r="E884" s="413"/>
      <c r="F884" s="413"/>
      <c r="G884" s="413"/>
      <c r="H884" s="413"/>
      <c r="I884" s="413"/>
      <c r="J884" s="413"/>
      <c r="K884" s="413"/>
      <c r="L884" s="413"/>
      <c r="M884" s="413"/>
      <c r="N884" s="413"/>
      <c r="O884" s="413"/>
      <c r="P884" s="413"/>
      <c r="Q884" s="413"/>
      <c r="R884" s="413"/>
      <c r="S884" s="413"/>
      <c r="T884" s="413"/>
      <c r="U884" s="413"/>
      <c r="V884" s="413"/>
      <c r="W884" s="413"/>
      <c r="X884" s="413"/>
      <c r="Y884" s="413"/>
      <c r="Z884" s="413"/>
    </row>
    <row r="885" ht="12.0" customHeight="1">
      <c r="A885" s="413"/>
      <c r="B885" s="413"/>
      <c r="C885" s="414"/>
      <c r="D885" s="413"/>
      <c r="E885" s="413"/>
      <c r="F885" s="413"/>
      <c r="G885" s="413"/>
      <c r="H885" s="413"/>
      <c r="I885" s="413"/>
      <c r="J885" s="413"/>
      <c r="K885" s="413"/>
      <c r="L885" s="413"/>
      <c r="M885" s="413"/>
      <c r="N885" s="413"/>
      <c r="O885" s="413"/>
      <c r="P885" s="413"/>
      <c r="Q885" s="413"/>
      <c r="R885" s="413"/>
      <c r="S885" s="413"/>
      <c r="T885" s="413"/>
      <c r="U885" s="413"/>
      <c r="V885" s="413"/>
      <c r="W885" s="413"/>
      <c r="X885" s="413"/>
      <c r="Y885" s="413"/>
      <c r="Z885" s="413"/>
    </row>
    <row r="886" ht="12.0" customHeight="1">
      <c r="A886" s="413"/>
      <c r="B886" s="413"/>
      <c r="C886" s="414"/>
      <c r="D886" s="413"/>
      <c r="E886" s="413"/>
      <c r="F886" s="413"/>
      <c r="G886" s="413"/>
      <c r="H886" s="413"/>
      <c r="I886" s="413"/>
      <c r="J886" s="413"/>
      <c r="K886" s="413"/>
      <c r="L886" s="413"/>
      <c r="M886" s="413"/>
      <c r="N886" s="413"/>
      <c r="O886" s="413"/>
      <c r="P886" s="413"/>
      <c r="Q886" s="413"/>
      <c r="R886" s="413"/>
      <c r="S886" s="413"/>
      <c r="T886" s="413"/>
      <c r="U886" s="413"/>
      <c r="V886" s="413"/>
      <c r="W886" s="413"/>
      <c r="X886" s="413"/>
      <c r="Y886" s="413"/>
      <c r="Z886" s="413"/>
    </row>
    <row r="887" ht="12.0" customHeight="1">
      <c r="A887" s="413"/>
      <c r="B887" s="413"/>
      <c r="C887" s="414"/>
      <c r="D887" s="413"/>
      <c r="E887" s="413"/>
      <c r="F887" s="413"/>
      <c r="G887" s="413"/>
      <c r="H887" s="413"/>
      <c r="I887" s="413"/>
      <c r="J887" s="413"/>
      <c r="K887" s="413"/>
      <c r="L887" s="413"/>
      <c r="M887" s="413"/>
      <c r="N887" s="413"/>
      <c r="O887" s="413"/>
      <c r="P887" s="413"/>
      <c r="Q887" s="413"/>
      <c r="R887" s="413"/>
      <c r="S887" s="413"/>
      <c r="T887" s="413"/>
      <c r="U887" s="413"/>
      <c r="V887" s="413"/>
      <c r="W887" s="413"/>
      <c r="X887" s="413"/>
      <c r="Y887" s="413"/>
      <c r="Z887" s="413"/>
    </row>
    <row r="888" ht="12.0" customHeight="1">
      <c r="A888" s="413"/>
      <c r="B888" s="413"/>
      <c r="C888" s="414"/>
      <c r="D888" s="413"/>
      <c r="E888" s="413"/>
      <c r="F888" s="413"/>
      <c r="G888" s="413"/>
      <c r="H888" s="413"/>
      <c r="I888" s="413"/>
      <c r="J888" s="413"/>
      <c r="K888" s="413"/>
      <c r="L888" s="413"/>
      <c r="M888" s="413"/>
      <c r="N888" s="413"/>
      <c r="O888" s="413"/>
      <c r="P888" s="413"/>
      <c r="Q888" s="413"/>
      <c r="R888" s="413"/>
      <c r="S888" s="413"/>
      <c r="T888" s="413"/>
      <c r="U888" s="413"/>
      <c r="V888" s="413"/>
      <c r="W888" s="413"/>
      <c r="X888" s="413"/>
      <c r="Y888" s="413"/>
      <c r="Z888" s="413"/>
    </row>
    <row r="889" ht="12.0" customHeight="1">
      <c r="A889" s="413"/>
      <c r="B889" s="413"/>
      <c r="C889" s="414"/>
      <c r="D889" s="413"/>
      <c r="E889" s="413"/>
      <c r="F889" s="413"/>
      <c r="G889" s="413"/>
      <c r="H889" s="413"/>
      <c r="I889" s="413"/>
      <c r="J889" s="413"/>
      <c r="K889" s="413"/>
      <c r="L889" s="413"/>
      <c r="M889" s="413"/>
      <c r="N889" s="413"/>
      <c r="O889" s="413"/>
      <c r="P889" s="413"/>
      <c r="Q889" s="413"/>
      <c r="R889" s="413"/>
      <c r="S889" s="413"/>
      <c r="T889" s="413"/>
      <c r="U889" s="413"/>
      <c r="V889" s="413"/>
      <c r="W889" s="413"/>
      <c r="X889" s="413"/>
      <c r="Y889" s="413"/>
      <c r="Z889" s="413"/>
    </row>
    <row r="890" ht="12.0" customHeight="1">
      <c r="A890" s="413"/>
      <c r="B890" s="413"/>
      <c r="C890" s="414"/>
      <c r="D890" s="413"/>
      <c r="E890" s="413"/>
      <c r="F890" s="413"/>
      <c r="G890" s="413"/>
      <c r="H890" s="413"/>
      <c r="I890" s="413"/>
      <c r="J890" s="413"/>
      <c r="K890" s="413"/>
      <c r="L890" s="413"/>
      <c r="M890" s="413"/>
      <c r="N890" s="413"/>
      <c r="O890" s="413"/>
      <c r="P890" s="413"/>
      <c r="Q890" s="413"/>
      <c r="R890" s="413"/>
      <c r="S890" s="413"/>
      <c r="T890" s="413"/>
      <c r="U890" s="413"/>
      <c r="V890" s="413"/>
      <c r="W890" s="413"/>
      <c r="X890" s="413"/>
      <c r="Y890" s="413"/>
      <c r="Z890" s="413"/>
    </row>
    <row r="891" ht="12.0" customHeight="1">
      <c r="A891" s="413"/>
      <c r="B891" s="413"/>
      <c r="C891" s="414"/>
      <c r="D891" s="413"/>
      <c r="E891" s="413"/>
      <c r="F891" s="413"/>
      <c r="G891" s="413"/>
      <c r="H891" s="413"/>
      <c r="I891" s="413"/>
      <c r="J891" s="413"/>
      <c r="K891" s="413"/>
      <c r="L891" s="413"/>
      <c r="M891" s="413"/>
      <c r="N891" s="413"/>
      <c r="O891" s="413"/>
      <c r="P891" s="413"/>
      <c r="Q891" s="413"/>
      <c r="R891" s="413"/>
      <c r="S891" s="413"/>
      <c r="T891" s="413"/>
      <c r="U891" s="413"/>
      <c r="V891" s="413"/>
      <c r="W891" s="413"/>
      <c r="X891" s="413"/>
      <c r="Y891" s="413"/>
      <c r="Z891" s="413"/>
    </row>
    <row r="892" ht="12.0" customHeight="1">
      <c r="A892" s="413"/>
      <c r="B892" s="413"/>
      <c r="C892" s="414"/>
      <c r="D892" s="413"/>
      <c r="E892" s="413"/>
      <c r="F892" s="413"/>
      <c r="G892" s="413"/>
      <c r="H892" s="413"/>
      <c r="I892" s="413"/>
      <c r="J892" s="413"/>
      <c r="K892" s="413"/>
      <c r="L892" s="413"/>
      <c r="M892" s="413"/>
      <c r="N892" s="413"/>
      <c r="O892" s="413"/>
      <c r="P892" s="413"/>
      <c r="Q892" s="413"/>
      <c r="R892" s="413"/>
      <c r="S892" s="413"/>
      <c r="T892" s="413"/>
      <c r="U892" s="413"/>
      <c r="V892" s="413"/>
      <c r="W892" s="413"/>
      <c r="X892" s="413"/>
      <c r="Y892" s="413"/>
      <c r="Z892" s="413"/>
    </row>
    <row r="893" ht="12.0" customHeight="1">
      <c r="A893" s="413"/>
      <c r="B893" s="413"/>
      <c r="C893" s="414"/>
      <c r="D893" s="413"/>
      <c r="E893" s="413"/>
      <c r="F893" s="413"/>
      <c r="G893" s="413"/>
      <c r="H893" s="413"/>
      <c r="I893" s="413"/>
      <c r="J893" s="413"/>
      <c r="K893" s="413"/>
      <c r="L893" s="413"/>
      <c r="M893" s="413"/>
      <c r="N893" s="413"/>
      <c r="O893" s="413"/>
      <c r="P893" s="413"/>
      <c r="Q893" s="413"/>
      <c r="R893" s="413"/>
      <c r="S893" s="413"/>
      <c r="T893" s="413"/>
      <c r="U893" s="413"/>
      <c r="V893" s="413"/>
      <c r="W893" s="413"/>
      <c r="X893" s="413"/>
      <c r="Y893" s="413"/>
      <c r="Z893" s="413"/>
    </row>
    <row r="894" ht="12.0" customHeight="1">
      <c r="A894" s="413"/>
      <c r="B894" s="413"/>
      <c r="C894" s="414"/>
      <c r="D894" s="413"/>
      <c r="E894" s="413"/>
      <c r="F894" s="413"/>
      <c r="G894" s="413"/>
      <c r="H894" s="413"/>
      <c r="I894" s="413"/>
      <c r="J894" s="413"/>
      <c r="K894" s="413"/>
      <c r="L894" s="413"/>
      <c r="M894" s="413"/>
      <c r="N894" s="413"/>
      <c r="O894" s="413"/>
      <c r="P894" s="413"/>
      <c r="Q894" s="413"/>
      <c r="R894" s="413"/>
      <c r="S894" s="413"/>
      <c r="T894" s="413"/>
      <c r="U894" s="413"/>
      <c r="V894" s="413"/>
      <c r="W894" s="413"/>
      <c r="X894" s="413"/>
      <c r="Y894" s="413"/>
      <c r="Z894" s="413"/>
    </row>
    <row r="895" ht="12.0" customHeight="1">
      <c r="A895" s="413"/>
      <c r="B895" s="413"/>
      <c r="C895" s="414"/>
      <c r="D895" s="413"/>
      <c r="E895" s="413"/>
      <c r="F895" s="413"/>
      <c r="G895" s="413"/>
      <c r="H895" s="413"/>
      <c r="I895" s="413"/>
      <c r="J895" s="413"/>
      <c r="K895" s="413"/>
      <c r="L895" s="413"/>
      <c r="M895" s="413"/>
      <c r="N895" s="413"/>
      <c r="O895" s="413"/>
      <c r="P895" s="413"/>
      <c r="Q895" s="413"/>
      <c r="R895" s="413"/>
      <c r="S895" s="413"/>
      <c r="T895" s="413"/>
      <c r="U895" s="413"/>
      <c r="V895" s="413"/>
      <c r="W895" s="413"/>
      <c r="X895" s="413"/>
      <c r="Y895" s="413"/>
      <c r="Z895" s="413"/>
    </row>
    <row r="896" ht="12.0" customHeight="1">
      <c r="A896" s="413"/>
      <c r="B896" s="413"/>
      <c r="C896" s="414"/>
      <c r="D896" s="413"/>
      <c r="E896" s="413"/>
      <c r="F896" s="413"/>
      <c r="G896" s="413"/>
      <c r="H896" s="413"/>
      <c r="I896" s="413"/>
      <c r="J896" s="413"/>
      <c r="K896" s="413"/>
      <c r="L896" s="413"/>
      <c r="M896" s="413"/>
      <c r="N896" s="413"/>
      <c r="O896" s="413"/>
      <c r="P896" s="413"/>
      <c r="Q896" s="413"/>
      <c r="R896" s="413"/>
      <c r="S896" s="413"/>
      <c r="T896" s="413"/>
      <c r="U896" s="413"/>
      <c r="V896" s="413"/>
      <c r="W896" s="413"/>
      <c r="X896" s="413"/>
      <c r="Y896" s="413"/>
      <c r="Z896" s="413"/>
    </row>
    <row r="897" ht="12.0" customHeight="1">
      <c r="A897" s="413"/>
      <c r="B897" s="413"/>
      <c r="C897" s="414"/>
      <c r="D897" s="413"/>
      <c r="E897" s="413"/>
      <c r="F897" s="413"/>
      <c r="G897" s="413"/>
      <c r="H897" s="413"/>
      <c r="I897" s="413"/>
      <c r="J897" s="413"/>
      <c r="K897" s="413"/>
      <c r="L897" s="413"/>
      <c r="M897" s="413"/>
      <c r="N897" s="413"/>
      <c r="O897" s="413"/>
      <c r="P897" s="413"/>
      <c r="Q897" s="413"/>
      <c r="R897" s="413"/>
      <c r="S897" s="413"/>
      <c r="T897" s="413"/>
      <c r="U897" s="413"/>
      <c r="V897" s="413"/>
      <c r="W897" s="413"/>
      <c r="X897" s="413"/>
      <c r="Y897" s="413"/>
      <c r="Z897" s="413"/>
    </row>
    <row r="898" ht="12.0" customHeight="1">
      <c r="A898" s="413"/>
      <c r="B898" s="413"/>
      <c r="C898" s="414"/>
      <c r="D898" s="413"/>
      <c r="E898" s="413"/>
      <c r="F898" s="413"/>
      <c r="G898" s="413"/>
      <c r="H898" s="413"/>
      <c r="I898" s="413"/>
      <c r="J898" s="413"/>
      <c r="K898" s="413"/>
      <c r="L898" s="413"/>
      <c r="M898" s="413"/>
      <c r="N898" s="413"/>
      <c r="O898" s="413"/>
      <c r="P898" s="413"/>
      <c r="Q898" s="413"/>
      <c r="R898" s="413"/>
      <c r="S898" s="413"/>
      <c r="T898" s="413"/>
      <c r="U898" s="413"/>
      <c r="V898" s="413"/>
      <c r="W898" s="413"/>
      <c r="X898" s="413"/>
      <c r="Y898" s="413"/>
      <c r="Z898" s="413"/>
    </row>
    <row r="899" ht="12.0" customHeight="1">
      <c r="A899" s="413"/>
      <c r="B899" s="413"/>
      <c r="C899" s="414"/>
      <c r="D899" s="413"/>
      <c r="E899" s="413"/>
      <c r="F899" s="413"/>
      <c r="G899" s="413"/>
      <c r="H899" s="413"/>
      <c r="I899" s="413"/>
      <c r="J899" s="413"/>
      <c r="K899" s="413"/>
      <c r="L899" s="413"/>
      <c r="M899" s="413"/>
      <c r="N899" s="413"/>
      <c r="O899" s="413"/>
      <c r="P899" s="413"/>
      <c r="Q899" s="413"/>
      <c r="R899" s="413"/>
      <c r="S899" s="413"/>
      <c r="T899" s="413"/>
      <c r="U899" s="413"/>
      <c r="V899" s="413"/>
      <c r="W899" s="413"/>
      <c r="X899" s="413"/>
      <c r="Y899" s="413"/>
      <c r="Z899" s="413"/>
    </row>
    <row r="900" ht="12.0" customHeight="1">
      <c r="A900" s="413"/>
      <c r="B900" s="413"/>
      <c r="C900" s="414"/>
      <c r="D900" s="413"/>
      <c r="E900" s="413"/>
      <c r="F900" s="413"/>
      <c r="G900" s="413"/>
      <c r="H900" s="413"/>
      <c r="I900" s="413"/>
      <c r="J900" s="413"/>
      <c r="K900" s="413"/>
      <c r="L900" s="413"/>
      <c r="M900" s="413"/>
      <c r="N900" s="413"/>
      <c r="O900" s="413"/>
      <c r="P900" s="413"/>
      <c r="Q900" s="413"/>
      <c r="R900" s="413"/>
      <c r="S900" s="413"/>
      <c r="T900" s="413"/>
      <c r="U900" s="413"/>
      <c r="V900" s="413"/>
      <c r="W900" s="413"/>
      <c r="X900" s="413"/>
      <c r="Y900" s="413"/>
      <c r="Z900" s="413"/>
    </row>
    <row r="901" ht="12.0" customHeight="1">
      <c r="A901" s="413"/>
      <c r="B901" s="413"/>
      <c r="C901" s="414"/>
      <c r="D901" s="413"/>
      <c r="E901" s="413"/>
      <c r="F901" s="413"/>
      <c r="G901" s="413"/>
      <c r="H901" s="413"/>
      <c r="I901" s="413"/>
      <c r="J901" s="413"/>
      <c r="K901" s="413"/>
      <c r="L901" s="413"/>
      <c r="M901" s="413"/>
      <c r="N901" s="413"/>
      <c r="O901" s="413"/>
      <c r="P901" s="413"/>
      <c r="Q901" s="413"/>
      <c r="R901" s="413"/>
      <c r="S901" s="413"/>
      <c r="T901" s="413"/>
      <c r="U901" s="413"/>
      <c r="V901" s="413"/>
      <c r="W901" s="413"/>
      <c r="X901" s="413"/>
      <c r="Y901" s="413"/>
      <c r="Z901" s="413"/>
    </row>
    <row r="902" ht="12.0" customHeight="1">
      <c r="A902" s="413"/>
      <c r="B902" s="413"/>
      <c r="C902" s="414"/>
      <c r="D902" s="413"/>
      <c r="E902" s="413"/>
      <c r="F902" s="413"/>
      <c r="G902" s="413"/>
      <c r="H902" s="413"/>
      <c r="I902" s="413"/>
      <c r="J902" s="413"/>
      <c r="K902" s="413"/>
      <c r="L902" s="413"/>
      <c r="M902" s="413"/>
      <c r="N902" s="413"/>
      <c r="O902" s="413"/>
      <c r="P902" s="413"/>
      <c r="Q902" s="413"/>
      <c r="R902" s="413"/>
      <c r="S902" s="413"/>
      <c r="T902" s="413"/>
      <c r="U902" s="413"/>
      <c r="V902" s="413"/>
      <c r="W902" s="413"/>
      <c r="X902" s="413"/>
      <c r="Y902" s="413"/>
      <c r="Z902" s="413"/>
    </row>
    <row r="903" ht="12.0" customHeight="1">
      <c r="A903" s="413"/>
      <c r="B903" s="413"/>
      <c r="C903" s="414"/>
      <c r="D903" s="413"/>
      <c r="E903" s="413"/>
      <c r="F903" s="413"/>
      <c r="G903" s="413"/>
      <c r="H903" s="413"/>
      <c r="I903" s="413"/>
      <c r="J903" s="413"/>
      <c r="K903" s="413"/>
      <c r="L903" s="413"/>
      <c r="M903" s="413"/>
      <c r="N903" s="413"/>
      <c r="O903" s="413"/>
      <c r="P903" s="413"/>
      <c r="Q903" s="413"/>
      <c r="R903" s="413"/>
      <c r="S903" s="413"/>
      <c r="T903" s="413"/>
      <c r="U903" s="413"/>
      <c r="V903" s="413"/>
      <c r="W903" s="413"/>
      <c r="X903" s="413"/>
      <c r="Y903" s="413"/>
      <c r="Z903" s="413"/>
    </row>
    <row r="904" ht="12.0" customHeight="1">
      <c r="A904" s="413"/>
      <c r="B904" s="413"/>
      <c r="C904" s="414"/>
      <c r="D904" s="413"/>
      <c r="E904" s="413"/>
      <c r="F904" s="413"/>
      <c r="G904" s="413"/>
      <c r="H904" s="413"/>
      <c r="I904" s="413"/>
      <c r="J904" s="413"/>
      <c r="K904" s="413"/>
      <c r="L904" s="413"/>
      <c r="M904" s="413"/>
      <c r="N904" s="413"/>
      <c r="O904" s="413"/>
      <c r="P904" s="413"/>
      <c r="Q904" s="413"/>
      <c r="R904" s="413"/>
      <c r="S904" s="413"/>
      <c r="T904" s="413"/>
      <c r="U904" s="413"/>
      <c r="V904" s="413"/>
      <c r="W904" s="413"/>
      <c r="X904" s="413"/>
      <c r="Y904" s="413"/>
      <c r="Z904" s="413"/>
    </row>
    <row r="905" ht="12.0" customHeight="1">
      <c r="A905" s="413"/>
      <c r="B905" s="413"/>
      <c r="C905" s="414"/>
      <c r="D905" s="413"/>
      <c r="E905" s="413"/>
      <c r="F905" s="413"/>
      <c r="G905" s="413"/>
      <c r="H905" s="413"/>
      <c r="I905" s="413"/>
      <c r="J905" s="413"/>
      <c r="K905" s="413"/>
      <c r="L905" s="413"/>
      <c r="M905" s="413"/>
      <c r="N905" s="413"/>
      <c r="O905" s="413"/>
      <c r="P905" s="413"/>
      <c r="Q905" s="413"/>
      <c r="R905" s="413"/>
      <c r="S905" s="413"/>
      <c r="T905" s="413"/>
      <c r="U905" s="413"/>
      <c r="V905" s="413"/>
      <c r="W905" s="413"/>
      <c r="X905" s="413"/>
      <c r="Y905" s="413"/>
      <c r="Z905" s="413"/>
    </row>
    <row r="906" ht="12.0" customHeight="1">
      <c r="A906" s="413"/>
      <c r="B906" s="413"/>
      <c r="C906" s="414"/>
      <c r="D906" s="413"/>
      <c r="E906" s="413"/>
      <c r="F906" s="413"/>
      <c r="G906" s="413"/>
      <c r="H906" s="413"/>
      <c r="I906" s="413"/>
      <c r="J906" s="413"/>
      <c r="K906" s="413"/>
      <c r="L906" s="413"/>
      <c r="M906" s="413"/>
      <c r="N906" s="413"/>
      <c r="O906" s="413"/>
      <c r="P906" s="413"/>
      <c r="Q906" s="413"/>
      <c r="R906" s="413"/>
      <c r="S906" s="413"/>
      <c r="T906" s="413"/>
      <c r="U906" s="413"/>
      <c r="V906" s="413"/>
      <c r="W906" s="413"/>
      <c r="X906" s="413"/>
      <c r="Y906" s="413"/>
      <c r="Z906" s="413"/>
    </row>
    <row r="907" ht="12.0" customHeight="1">
      <c r="A907" s="413"/>
      <c r="B907" s="413"/>
      <c r="C907" s="414"/>
      <c r="D907" s="413"/>
      <c r="E907" s="413"/>
      <c r="F907" s="413"/>
      <c r="G907" s="413"/>
      <c r="H907" s="413"/>
      <c r="I907" s="413"/>
      <c r="J907" s="413"/>
      <c r="K907" s="413"/>
      <c r="L907" s="413"/>
      <c r="M907" s="413"/>
      <c r="N907" s="413"/>
      <c r="O907" s="413"/>
      <c r="P907" s="413"/>
      <c r="Q907" s="413"/>
      <c r="R907" s="413"/>
      <c r="S907" s="413"/>
      <c r="T907" s="413"/>
      <c r="U907" s="413"/>
      <c r="V907" s="413"/>
      <c r="W907" s="413"/>
      <c r="X907" s="413"/>
      <c r="Y907" s="413"/>
      <c r="Z907" s="413"/>
    </row>
    <row r="908" ht="12.0" customHeight="1">
      <c r="A908" s="413"/>
      <c r="B908" s="413"/>
      <c r="C908" s="414"/>
      <c r="D908" s="413"/>
      <c r="E908" s="413"/>
      <c r="F908" s="413"/>
      <c r="G908" s="413"/>
      <c r="H908" s="413"/>
      <c r="I908" s="413"/>
      <c r="J908" s="413"/>
      <c r="K908" s="413"/>
      <c r="L908" s="413"/>
      <c r="M908" s="413"/>
      <c r="N908" s="413"/>
      <c r="O908" s="413"/>
      <c r="P908" s="413"/>
      <c r="Q908" s="413"/>
      <c r="R908" s="413"/>
      <c r="S908" s="413"/>
      <c r="T908" s="413"/>
      <c r="U908" s="413"/>
      <c r="V908" s="413"/>
      <c r="W908" s="413"/>
      <c r="X908" s="413"/>
      <c r="Y908" s="413"/>
      <c r="Z908" s="413"/>
    </row>
    <row r="909" ht="12.0" customHeight="1">
      <c r="A909" s="413"/>
      <c r="B909" s="413"/>
      <c r="C909" s="414"/>
      <c r="D909" s="413"/>
      <c r="E909" s="413"/>
      <c r="F909" s="413"/>
      <c r="G909" s="413"/>
      <c r="H909" s="413"/>
      <c r="I909" s="413"/>
      <c r="J909" s="413"/>
      <c r="K909" s="413"/>
      <c r="L909" s="413"/>
      <c r="M909" s="413"/>
      <c r="N909" s="413"/>
      <c r="O909" s="413"/>
      <c r="P909" s="413"/>
      <c r="Q909" s="413"/>
      <c r="R909" s="413"/>
      <c r="S909" s="413"/>
      <c r="T909" s="413"/>
      <c r="U909" s="413"/>
      <c r="V909" s="413"/>
      <c r="W909" s="413"/>
      <c r="X909" s="413"/>
      <c r="Y909" s="413"/>
      <c r="Z909" s="413"/>
    </row>
    <row r="910" ht="12.0" customHeight="1">
      <c r="A910" s="413"/>
      <c r="B910" s="413"/>
      <c r="C910" s="414"/>
      <c r="D910" s="413"/>
      <c r="E910" s="413"/>
      <c r="F910" s="413"/>
      <c r="G910" s="413"/>
      <c r="H910" s="413"/>
      <c r="I910" s="413"/>
      <c r="J910" s="413"/>
      <c r="K910" s="413"/>
      <c r="L910" s="413"/>
      <c r="M910" s="413"/>
      <c r="N910" s="413"/>
      <c r="O910" s="413"/>
      <c r="P910" s="413"/>
      <c r="Q910" s="413"/>
      <c r="R910" s="413"/>
      <c r="S910" s="413"/>
      <c r="T910" s="413"/>
      <c r="U910" s="413"/>
      <c r="V910" s="413"/>
      <c r="W910" s="413"/>
      <c r="X910" s="413"/>
      <c r="Y910" s="413"/>
      <c r="Z910" s="413"/>
    </row>
    <row r="911" ht="12.0" customHeight="1">
      <c r="A911" s="413"/>
      <c r="B911" s="413"/>
      <c r="C911" s="414"/>
      <c r="D911" s="413"/>
      <c r="E911" s="413"/>
      <c r="F911" s="413"/>
      <c r="G911" s="413"/>
      <c r="H911" s="413"/>
      <c r="I911" s="413"/>
      <c r="J911" s="413"/>
      <c r="K911" s="413"/>
      <c r="L911" s="413"/>
      <c r="M911" s="413"/>
      <c r="N911" s="413"/>
      <c r="O911" s="413"/>
      <c r="P911" s="413"/>
      <c r="Q911" s="413"/>
      <c r="R911" s="413"/>
      <c r="S911" s="413"/>
      <c r="T911" s="413"/>
      <c r="U911" s="413"/>
      <c r="V911" s="413"/>
      <c r="W911" s="413"/>
      <c r="X911" s="413"/>
      <c r="Y911" s="413"/>
      <c r="Z911" s="413"/>
    </row>
    <row r="912" ht="12.0" customHeight="1">
      <c r="A912" s="413"/>
      <c r="B912" s="413"/>
      <c r="C912" s="414"/>
      <c r="D912" s="413"/>
      <c r="E912" s="413"/>
      <c r="F912" s="413"/>
      <c r="G912" s="413"/>
      <c r="H912" s="413"/>
      <c r="I912" s="413"/>
      <c r="J912" s="413"/>
      <c r="K912" s="413"/>
      <c r="L912" s="413"/>
      <c r="M912" s="413"/>
      <c r="N912" s="413"/>
      <c r="O912" s="413"/>
      <c r="P912" s="413"/>
      <c r="Q912" s="413"/>
      <c r="R912" s="413"/>
      <c r="S912" s="413"/>
      <c r="T912" s="413"/>
      <c r="U912" s="413"/>
      <c r="V912" s="413"/>
      <c r="W912" s="413"/>
      <c r="X912" s="413"/>
      <c r="Y912" s="413"/>
      <c r="Z912" s="413"/>
    </row>
    <row r="913" ht="12.0" customHeight="1">
      <c r="A913" s="413"/>
      <c r="B913" s="413"/>
      <c r="C913" s="414"/>
      <c r="D913" s="413"/>
      <c r="E913" s="413"/>
      <c r="F913" s="413"/>
      <c r="G913" s="413"/>
      <c r="H913" s="413"/>
      <c r="I913" s="413"/>
      <c r="J913" s="413"/>
      <c r="K913" s="413"/>
      <c r="L913" s="413"/>
      <c r="M913" s="413"/>
      <c r="N913" s="413"/>
      <c r="O913" s="413"/>
      <c r="P913" s="413"/>
      <c r="Q913" s="413"/>
      <c r="R913" s="413"/>
      <c r="S913" s="413"/>
      <c r="T913" s="413"/>
      <c r="U913" s="413"/>
      <c r="V913" s="413"/>
      <c r="W913" s="413"/>
      <c r="X913" s="413"/>
      <c r="Y913" s="413"/>
      <c r="Z913" s="413"/>
    </row>
    <row r="914" ht="12.0" customHeight="1">
      <c r="A914" s="413"/>
      <c r="B914" s="413"/>
      <c r="C914" s="414"/>
      <c r="D914" s="413"/>
      <c r="E914" s="413"/>
      <c r="F914" s="413"/>
      <c r="G914" s="413"/>
      <c r="H914" s="413"/>
      <c r="I914" s="413"/>
      <c r="J914" s="413"/>
      <c r="K914" s="413"/>
      <c r="L914" s="413"/>
      <c r="M914" s="413"/>
      <c r="N914" s="413"/>
      <c r="O914" s="413"/>
      <c r="P914" s="413"/>
      <c r="Q914" s="413"/>
      <c r="R914" s="413"/>
      <c r="S914" s="413"/>
      <c r="T914" s="413"/>
      <c r="U914" s="413"/>
      <c r="V914" s="413"/>
      <c r="W914" s="413"/>
      <c r="X914" s="413"/>
      <c r="Y914" s="413"/>
      <c r="Z914" s="413"/>
    </row>
    <row r="915" ht="12.0" customHeight="1">
      <c r="A915" s="413"/>
      <c r="B915" s="413"/>
      <c r="C915" s="414"/>
      <c r="D915" s="413"/>
      <c r="E915" s="413"/>
      <c r="F915" s="413"/>
      <c r="G915" s="413"/>
      <c r="H915" s="413"/>
      <c r="I915" s="413"/>
      <c r="J915" s="413"/>
      <c r="K915" s="413"/>
      <c r="L915" s="413"/>
      <c r="M915" s="413"/>
      <c r="N915" s="413"/>
      <c r="O915" s="413"/>
      <c r="P915" s="413"/>
      <c r="Q915" s="413"/>
      <c r="R915" s="413"/>
      <c r="S915" s="413"/>
      <c r="T915" s="413"/>
      <c r="U915" s="413"/>
      <c r="V915" s="413"/>
      <c r="W915" s="413"/>
      <c r="X915" s="413"/>
      <c r="Y915" s="413"/>
      <c r="Z915" s="413"/>
    </row>
    <row r="916" ht="12.0" customHeight="1">
      <c r="A916" s="413"/>
      <c r="B916" s="413"/>
      <c r="C916" s="414"/>
      <c r="D916" s="413"/>
      <c r="E916" s="413"/>
      <c r="F916" s="413"/>
      <c r="G916" s="413"/>
      <c r="H916" s="413"/>
      <c r="I916" s="413"/>
      <c r="J916" s="413"/>
      <c r="K916" s="413"/>
      <c r="L916" s="413"/>
      <c r="M916" s="413"/>
      <c r="N916" s="413"/>
      <c r="O916" s="413"/>
      <c r="P916" s="413"/>
      <c r="Q916" s="413"/>
      <c r="R916" s="413"/>
      <c r="S916" s="413"/>
      <c r="T916" s="413"/>
      <c r="U916" s="413"/>
      <c r="V916" s="413"/>
      <c r="W916" s="413"/>
      <c r="X916" s="413"/>
      <c r="Y916" s="413"/>
      <c r="Z916" s="413"/>
    </row>
    <row r="917" ht="12.0" customHeight="1">
      <c r="A917" s="413"/>
      <c r="B917" s="413"/>
      <c r="C917" s="414"/>
      <c r="D917" s="413"/>
      <c r="E917" s="413"/>
      <c r="F917" s="413"/>
      <c r="G917" s="413"/>
      <c r="H917" s="413"/>
      <c r="I917" s="413"/>
      <c r="J917" s="413"/>
      <c r="K917" s="413"/>
      <c r="L917" s="413"/>
      <c r="M917" s="413"/>
      <c r="N917" s="413"/>
      <c r="O917" s="413"/>
      <c r="P917" s="413"/>
      <c r="Q917" s="413"/>
      <c r="R917" s="413"/>
      <c r="S917" s="413"/>
      <c r="T917" s="413"/>
      <c r="U917" s="413"/>
      <c r="V917" s="413"/>
      <c r="W917" s="413"/>
      <c r="X917" s="413"/>
      <c r="Y917" s="413"/>
      <c r="Z917" s="413"/>
    </row>
    <row r="918" ht="12.0" customHeight="1">
      <c r="A918" s="413"/>
      <c r="B918" s="413"/>
      <c r="C918" s="414"/>
      <c r="D918" s="413"/>
      <c r="E918" s="413"/>
      <c r="F918" s="413"/>
      <c r="G918" s="413"/>
      <c r="H918" s="413"/>
      <c r="I918" s="413"/>
      <c r="J918" s="413"/>
      <c r="K918" s="413"/>
      <c r="L918" s="413"/>
      <c r="M918" s="413"/>
      <c r="N918" s="413"/>
      <c r="O918" s="413"/>
      <c r="P918" s="413"/>
      <c r="Q918" s="413"/>
      <c r="R918" s="413"/>
      <c r="S918" s="413"/>
      <c r="T918" s="413"/>
      <c r="U918" s="413"/>
      <c r="V918" s="413"/>
      <c r="W918" s="413"/>
      <c r="X918" s="413"/>
      <c r="Y918" s="413"/>
      <c r="Z918" s="413"/>
    </row>
    <row r="919" ht="12.0" customHeight="1">
      <c r="A919" s="413"/>
      <c r="B919" s="413"/>
      <c r="C919" s="414"/>
      <c r="D919" s="413"/>
      <c r="E919" s="413"/>
      <c r="F919" s="413"/>
      <c r="G919" s="413"/>
      <c r="H919" s="413"/>
      <c r="I919" s="413"/>
      <c r="J919" s="413"/>
      <c r="K919" s="413"/>
      <c r="L919" s="413"/>
      <c r="M919" s="413"/>
      <c r="N919" s="413"/>
      <c r="O919" s="413"/>
      <c r="P919" s="413"/>
      <c r="Q919" s="413"/>
      <c r="R919" s="413"/>
      <c r="S919" s="413"/>
      <c r="T919" s="413"/>
      <c r="U919" s="413"/>
      <c r="V919" s="413"/>
      <c r="W919" s="413"/>
      <c r="X919" s="413"/>
      <c r="Y919" s="413"/>
      <c r="Z919" s="413"/>
    </row>
    <row r="920" ht="12.0" customHeight="1">
      <c r="A920" s="413"/>
      <c r="B920" s="413"/>
      <c r="C920" s="414"/>
      <c r="D920" s="413"/>
      <c r="E920" s="413"/>
      <c r="F920" s="413"/>
      <c r="G920" s="413"/>
      <c r="H920" s="413"/>
      <c r="I920" s="413"/>
      <c r="J920" s="413"/>
      <c r="K920" s="413"/>
      <c r="L920" s="413"/>
      <c r="M920" s="413"/>
      <c r="N920" s="413"/>
      <c r="O920" s="413"/>
      <c r="P920" s="413"/>
      <c r="Q920" s="413"/>
      <c r="R920" s="413"/>
      <c r="S920" s="413"/>
      <c r="T920" s="413"/>
      <c r="U920" s="413"/>
      <c r="V920" s="413"/>
      <c r="W920" s="413"/>
      <c r="X920" s="413"/>
      <c r="Y920" s="413"/>
      <c r="Z920" s="413"/>
    </row>
    <row r="921" ht="12.0" customHeight="1">
      <c r="A921" s="413"/>
      <c r="B921" s="413"/>
      <c r="C921" s="414"/>
      <c r="D921" s="413"/>
      <c r="E921" s="413"/>
      <c r="F921" s="413"/>
      <c r="G921" s="413"/>
      <c r="H921" s="413"/>
      <c r="I921" s="413"/>
      <c r="J921" s="413"/>
      <c r="K921" s="413"/>
      <c r="L921" s="413"/>
      <c r="M921" s="413"/>
      <c r="N921" s="413"/>
      <c r="O921" s="413"/>
      <c r="P921" s="413"/>
      <c r="Q921" s="413"/>
      <c r="R921" s="413"/>
      <c r="S921" s="413"/>
      <c r="T921" s="413"/>
      <c r="U921" s="413"/>
      <c r="V921" s="413"/>
      <c r="W921" s="413"/>
      <c r="X921" s="413"/>
      <c r="Y921" s="413"/>
      <c r="Z921" s="413"/>
    </row>
    <row r="922" ht="12.0" customHeight="1">
      <c r="A922" s="413"/>
      <c r="B922" s="413"/>
      <c r="C922" s="414"/>
      <c r="D922" s="413"/>
      <c r="E922" s="413"/>
      <c r="F922" s="413"/>
      <c r="G922" s="413"/>
      <c r="H922" s="413"/>
      <c r="I922" s="413"/>
      <c r="J922" s="413"/>
      <c r="K922" s="413"/>
      <c r="L922" s="413"/>
      <c r="M922" s="413"/>
      <c r="N922" s="413"/>
      <c r="O922" s="413"/>
      <c r="P922" s="413"/>
      <c r="Q922" s="413"/>
      <c r="R922" s="413"/>
      <c r="S922" s="413"/>
      <c r="T922" s="413"/>
      <c r="U922" s="413"/>
      <c r="V922" s="413"/>
      <c r="W922" s="413"/>
      <c r="X922" s="413"/>
      <c r="Y922" s="413"/>
      <c r="Z922" s="413"/>
    </row>
    <row r="923" ht="12.0" customHeight="1">
      <c r="A923" s="413"/>
      <c r="B923" s="413"/>
      <c r="C923" s="414"/>
      <c r="D923" s="413"/>
      <c r="E923" s="413"/>
      <c r="F923" s="413"/>
      <c r="G923" s="413"/>
      <c r="H923" s="413"/>
      <c r="I923" s="413"/>
      <c r="J923" s="413"/>
      <c r="K923" s="413"/>
      <c r="L923" s="413"/>
      <c r="M923" s="413"/>
      <c r="N923" s="413"/>
      <c r="O923" s="413"/>
      <c r="P923" s="413"/>
      <c r="Q923" s="413"/>
      <c r="R923" s="413"/>
      <c r="S923" s="413"/>
      <c r="T923" s="413"/>
      <c r="U923" s="413"/>
      <c r="V923" s="413"/>
      <c r="W923" s="413"/>
      <c r="X923" s="413"/>
      <c r="Y923" s="413"/>
      <c r="Z923" s="413"/>
    </row>
    <row r="924" ht="12.0" customHeight="1">
      <c r="A924" s="413"/>
      <c r="B924" s="413"/>
      <c r="C924" s="414"/>
      <c r="D924" s="413"/>
      <c r="E924" s="413"/>
      <c r="F924" s="413"/>
      <c r="G924" s="413"/>
      <c r="H924" s="413"/>
      <c r="I924" s="413"/>
      <c r="J924" s="413"/>
      <c r="K924" s="413"/>
      <c r="L924" s="413"/>
      <c r="M924" s="413"/>
      <c r="N924" s="413"/>
      <c r="O924" s="413"/>
      <c r="P924" s="413"/>
      <c r="Q924" s="413"/>
      <c r="R924" s="413"/>
      <c r="S924" s="413"/>
      <c r="T924" s="413"/>
      <c r="U924" s="413"/>
      <c r="V924" s="413"/>
      <c r="W924" s="413"/>
      <c r="X924" s="413"/>
      <c r="Y924" s="413"/>
      <c r="Z924" s="413"/>
    </row>
    <row r="925" ht="12.0" customHeight="1">
      <c r="A925" s="413"/>
      <c r="B925" s="413"/>
      <c r="C925" s="414"/>
      <c r="D925" s="413"/>
      <c r="E925" s="413"/>
      <c r="F925" s="413"/>
      <c r="G925" s="413"/>
      <c r="H925" s="413"/>
      <c r="I925" s="413"/>
      <c r="J925" s="413"/>
      <c r="K925" s="413"/>
      <c r="L925" s="413"/>
      <c r="M925" s="413"/>
      <c r="N925" s="413"/>
      <c r="O925" s="413"/>
      <c r="P925" s="413"/>
      <c r="Q925" s="413"/>
      <c r="R925" s="413"/>
      <c r="S925" s="413"/>
      <c r="T925" s="413"/>
      <c r="U925" s="413"/>
      <c r="V925" s="413"/>
      <c r="W925" s="413"/>
      <c r="X925" s="413"/>
      <c r="Y925" s="413"/>
      <c r="Z925" s="413"/>
    </row>
    <row r="926" ht="12.0" customHeight="1">
      <c r="A926" s="413"/>
      <c r="B926" s="413"/>
      <c r="C926" s="414"/>
      <c r="D926" s="413"/>
      <c r="E926" s="413"/>
      <c r="F926" s="413"/>
      <c r="G926" s="413"/>
      <c r="H926" s="413"/>
      <c r="I926" s="413"/>
      <c r="J926" s="413"/>
      <c r="K926" s="413"/>
      <c r="L926" s="413"/>
      <c r="M926" s="413"/>
      <c r="N926" s="413"/>
      <c r="O926" s="413"/>
      <c r="P926" s="413"/>
      <c r="Q926" s="413"/>
      <c r="R926" s="413"/>
      <c r="S926" s="413"/>
      <c r="T926" s="413"/>
      <c r="U926" s="413"/>
      <c r="V926" s="413"/>
      <c r="W926" s="413"/>
      <c r="X926" s="413"/>
      <c r="Y926" s="413"/>
      <c r="Z926" s="413"/>
    </row>
    <row r="927" ht="12.0" customHeight="1">
      <c r="A927" s="413"/>
      <c r="B927" s="413"/>
      <c r="C927" s="414"/>
      <c r="D927" s="413"/>
      <c r="E927" s="413"/>
      <c r="F927" s="413"/>
      <c r="G927" s="413"/>
      <c r="H927" s="413"/>
      <c r="I927" s="413"/>
      <c r="J927" s="413"/>
      <c r="K927" s="413"/>
      <c r="L927" s="413"/>
      <c r="M927" s="413"/>
      <c r="N927" s="413"/>
      <c r="O927" s="413"/>
      <c r="P927" s="413"/>
      <c r="Q927" s="413"/>
      <c r="R927" s="413"/>
      <c r="S927" s="413"/>
      <c r="T927" s="413"/>
      <c r="U927" s="413"/>
      <c r="V927" s="413"/>
      <c r="W927" s="413"/>
      <c r="X927" s="413"/>
      <c r="Y927" s="413"/>
      <c r="Z927" s="413"/>
    </row>
    <row r="928" ht="12.0" customHeight="1">
      <c r="A928" s="413"/>
      <c r="B928" s="413"/>
      <c r="C928" s="414"/>
      <c r="D928" s="413"/>
      <c r="E928" s="413"/>
      <c r="F928" s="413"/>
      <c r="G928" s="413"/>
      <c r="H928" s="413"/>
      <c r="I928" s="413"/>
      <c r="J928" s="413"/>
      <c r="K928" s="413"/>
      <c r="L928" s="413"/>
      <c r="M928" s="413"/>
      <c r="N928" s="413"/>
      <c r="O928" s="413"/>
      <c r="P928" s="413"/>
      <c r="Q928" s="413"/>
      <c r="R928" s="413"/>
      <c r="S928" s="413"/>
      <c r="T928" s="413"/>
      <c r="U928" s="413"/>
      <c r="V928" s="413"/>
      <c r="W928" s="413"/>
      <c r="X928" s="413"/>
      <c r="Y928" s="413"/>
      <c r="Z928" s="413"/>
    </row>
    <row r="929" ht="12.0" customHeight="1">
      <c r="A929" s="413"/>
      <c r="B929" s="413"/>
      <c r="C929" s="414"/>
      <c r="D929" s="413"/>
      <c r="E929" s="413"/>
      <c r="F929" s="413"/>
      <c r="G929" s="413"/>
      <c r="H929" s="413"/>
      <c r="I929" s="413"/>
      <c r="J929" s="413"/>
      <c r="K929" s="413"/>
      <c r="L929" s="413"/>
      <c r="M929" s="413"/>
      <c r="N929" s="413"/>
      <c r="O929" s="413"/>
      <c r="P929" s="413"/>
      <c r="Q929" s="413"/>
      <c r="R929" s="413"/>
      <c r="S929" s="413"/>
      <c r="T929" s="413"/>
      <c r="U929" s="413"/>
      <c r="V929" s="413"/>
      <c r="W929" s="413"/>
      <c r="X929" s="413"/>
      <c r="Y929" s="413"/>
      <c r="Z929" s="413"/>
    </row>
    <row r="930" ht="12.0" customHeight="1">
      <c r="A930" s="413"/>
      <c r="B930" s="413"/>
      <c r="C930" s="414"/>
      <c r="D930" s="413"/>
      <c r="E930" s="413"/>
      <c r="F930" s="413"/>
      <c r="G930" s="413"/>
      <c r="H930" s="413"/>
      <c r="I930" s="413"/>
      <c r="J930" s="413"/>
      <c r="K930" s="413"/>
      <c r="L930" s="413"/>
      <c r="M930" s="413"/>
      <c r="N930" s="413"/>
      <c r="O930" s="413"/>
      <c r="P930" s="413"/>
      <c r="Q930" s="413"/>
      <c r="R930" s="413"/>
      <c r="S930" s="413"/>
      <c r="T930" s="413"/>
      <c r="U930" s="413"/>
      <c r="V930" s="413"/>
      <c r="W930" s="413"/>
      <c r="X930" s="413"/>
      <c r="Y930" s="413"/>
      <c r="Z930" s="413"/>
    </row>
    <row r="931" ht="12.0" customHeight="1">
      <c r="A931" s="413"/>
      <c r="B931" s="413"/>
      <c r="C931" s="414"/>
      <c r="D931" s="413"/>
      <c r="E931" s="413"/>
      <c r="F931" s="413"/>
      <c r="G931" s="413"/>
      <c r="H931" s="413"/>
      <c r="I931" s="413"/>
      <c r="J931" s="413"/>
      <c r="K931" s="413"/>
      <c r="L931" s="413"/>
      <c r="M931" s="413"/>
      <c r="N931" s="413"/>
      <c r="O931" s="413"/>
      <c r="P931" s="413"/>
      <c r="Q931" s="413"/>
      <c r="R931" s="413"/>
      <c r="S931" s="413"/>
      <c r="T931" s="413"/>
      <c r="U931" s="413"/>
      <c r="V931" s="413"/>
      <c r="W931" s="413"/>
      <c r="X931" s="413"/>
      <c r="Y931" s="413"/>
      <c r="Z931" s="413"/>
    </row>
    <row r="932" ht="12.0" customHeight="1">
      <c r="A932" s="413"/>
      <c r="B932" s="413"/>
      <c r="C932" s="414"/>
      <c r="D932" s="413"/>
      <c r="E932" s="413"/>
      <c r="F932" s="413"/>
      <c r="G932" s="413"/>
      <c r="H932" s="413"/>
      <c r="I932" s="413"/>
      <c r="J932" s="413"/>
      <c r="K932" s="413"/>
      <c r="L932" s="413"/>
      <c r="M932" s="413"/>
      <c r="N932" s="413"/>
      <c r="O932" s="413"/>
      <c r="P932" s="413"/>
      <c r="Q932" s="413"/>
      <c r="R932" s="413"/>
      <c r="S932" s="413"/>
      <c r="T932" s="413"/>
      <c r="U932" s="413"/>
      <c r="V932" s="413"/>
      <c r="W932" s="413"/>
      <c r="X932" s="413"/>
      <c r="Y932" s="413"/>
      <c r="Z932" s="413"/>
    </row>
    <row r="933" ht="12.0" customHeight="1">
      <c r="A933" s="413"/>
      <c r="B933" s="413"/>
      <c r="C933" s="414"/>
      <c r="D933" s="413"/>
      <c r="E933" s="413"/>
      <c r="F933" s="413"/>
      <c r="G933" s="413"/>
      <c r="H933" s="413"/>
      <c r="I933" s="413"/>
      <c r="J933" s="413"/>
      <c r="K933" s="413"/>
      <c r="L933" s="413"/>
      <c r="M933" s="413"/>
      <c r="N933" s="413"/>
      <c r="O933" s="413"/>
      <c r="P933" s="413"/>
      <c r="Q933" s="413"/>
      <c r="R933" s="413"/>
      <c r="S933" s="413"/>
      <c r="T933" s="413"/>
      <c r="U933" s="413"/>
      <c r="V933" s="413"/>
      <c r="W933" s="413"/>
      <c r="X933" s="413"/>
      <c r="Y933" s="413"/>
      <c r="Z933" s="413"/>
    </row>
    <row r="934" ht="12.0" customHeight="1">
      <c r="A934" s="413"/>
      <c r="B934" s="413"/>
      <c r="C934" s="414"/>
      <c r="D934" s="413"/>
      <c r="E934" s="413"/>
      <c r="F934" s="413"/>
      <c r="G934" s="413"/>
      <c r="H934" s="413"/>
      <c r="I934" s="413"/>
      <c r="J934" s="413"/>
      <c r="K934" s="413"/>
      <c r="L934" s="413"/>
      <c r="M934" s="413"/>
      <c r="N934" s="413"/>
      <c r="O934" s="413"/>
      <c r="P934" s="413"/>
      <c r="Q934" s="413"/>
      <c r="R934" s="413"/>
      <c r="S934" s="413"/>
      <c r="T934" s="413"/>
      <c r="U934" s="413"/>
      <c r="V934" s="413"/>
      <c r="W934" s="413"/>
      <c r="X934" s="413"/>
      <c r="Y934" s="413"/>
      <c r="Z934" s="413"/>
    </row>
    <row r="935" ht="12.0" customHeight="1">
      <c r="A935" s="413"/>
      <c r="B935" s="413"/>
      <c r="C935" s="414"/>
      <c r="D935" s="413"/>
      <c r="E935" s="413"/>
      <c r="F935" s="413"/>
      <c r="G935" s="413"/>
      <c r="H935" s="413"/>
      <c r="I935" s="413"/>
      <c r="J935" s="413"/>
      <c r="K935" s="413"/>
      <c r="L935" s="413"/>
      <c r="M935" s="413"/>
      <c r="N935" s="413"/>
      <c r="O935" s="413"/>
      <c r="P935" s="413"/>
      <c r="Q935" s="413"/>
      <c r="R935" s="413"/>
      <c r="S935" s="413"/>
      <c r="T935" s="413"/>
      <c r="U935" s="413"/>
      <c r="V935" s="413"/>
      <c r="W935" s="413"/>
      <c r="X935" s="413"/>
      <c r="Y935" s="413"/>
      <c r="Z935" s="413"/>
    </row>
    <row r="936" ht="12.0" customHeight="1">
      <c r="A936" s="413"/>
      <c r="B936" s="413"/>
      <c r="C936" s="414"/>
      <c r="D936" s="413"/>
      <c r="E936" s="413"/>
      <c r="F936" s="413"/>
      <c r="G936" s="413"/>
      <c r="H936" s="413"/>
      <c r="I936" s="413"/>
      <c r="J936" s="413"/>
      <c r="K936" s="413"/>
      <c r="L936" s="413"/>
      <c r="M936" s="413"/>
      <c r="N936" s="413"/>
      <c r="O936" s="413"/>
      <c r="P936" s="413"/>
      <c r="Q936" s="413"/>
      <c r="R936" s="413"/>
      <c r="S936" s="413"/>
      <c r="T936" s="413"/>
      <c r="U936" s="413"/>
      <c r="V936" s="413"/>
      <c r="W936" s="413"/>
      <c r="X936" s="413"/>
      <c r="Y936" s="413"/>
      <c r="Z936" s="413"/>
    </row>
    <row r="937" ht="12.0" customHeight="1">
      <c r="A937" s="413"/>
      <c r="B937" s="413"/>
      <c r="C937" s="414"/>
      <c r="D937" s="413"/>
      <c r="E937" s="413"/>
      <c r="F937" s="413"/>
      <c r="G937" s="413"/>
      <c r="H937" s="413"/>
      <c r="I937" s="413"/>
      <c r="J937" s="413"/>
      <c r="K937" s="413"/>
      <c r="L937" s="413"/>
      <c r="M937" s="413"/>
      <c r="N937" s="413"/>
      <c r="O937" s="413"/>
      <c r="P937" s="413"/>
      <c r="Q937" s="413"/>
      <c r="R937" s="413"/>
      <c r="S937" s="413"/>
      <c r="T937" s="413"/>
      <c r="U937" s="413"/>
      <c r="V937" s="413"/>
      <c r="W937" s="413"/>
      <c r="X937" s="413"/>
      <c r="Y937" s="413"/>
      <c r="Z937" s="413"/>
    </row>
    <row r="938" ht="12.0" customHeight="1">
      <c r="A938" s="413"/>
      <c r="B938" s="413"/>
      <c r="C938" s="414"/>
      <c r="D938" s="413"/>
      <c r="E938" s="413"/>
      <c r="F938" s="413"/>
      <c r="G938" s="413"/>
      <c r="H938" s="413"/>
      <c r="I938" s="413"/>
      <c r="J938" s="413"/>
      <c r="K938" s="413"/>
      <c r="L938" s="413"/>
      <c r="M938" s="413"/>
      <c r="N938" s="413"/>
      <c r="O938" s="413"/>
      <c r="P938" s="413"/>
      <c r="Q938" s="413"/>
      <c r="R938" s="413"/>
      <c r="S938" s="413"/>
      <c r="T938" s="413"/>
      <c r="U938" s="413"/>
      <c r="V938" s="413"/>
      <c r="W938" s="413"/>
      <c r="X938" s="413"/>
      <c r="Y938" s="413"/>
      <c r="Z938" s="413"/>
    </row>
    <row r="939" ht="12.0" customHeight="1">
      <c r="A939" s="413"/>
      <c r="B939" s="413"/>
      <c r="C939" s="414"/>
      <c r="D939" s="413"/>
      <c r="E939" s="413"/>
      <c r="F939" s="413"/>
      <c r="G939" s="413"/>
      <c r="H939" s="413"/>
      <c r="I939" s="413"/>
      <c r="J939" s="413"/>
      <c r="K939" s="413"/>
      <c r="L939" s="413"/>
      <c r="M939" s="413"/>
      <c r="N939" s="413"/>
      <c r="O939" s="413"/>
      <c r="P939" s="413"/>
      <c r="Q939" s="413"/>
      <c r="R939" s="413"/>
      <c r="S939" s="413"/>
      <c r="T939" s="413"/>
      <c r="U939" s="413"/>
      <c r="V939" s="413"/>
      <c r="W939" s="413"/>
      <c r="X939" s="413"/>
      <c r="Y939" s="413"/>
      <c r="Z939" s="413"/>
    </row>
    <row r="940" ht="12.0" customHeight="1">
      <c r="A940" s="413"/>
      <c r="B940" s="413"/>
      <c r="C940" s="414"/>
      <c r="D940" s="413"/>
      <c r="E940" s="413"/>
      <c r="F940" s="413"/>
      <c r="G940" s="413"/>
      <c r="H940" s="413"/>
      <c r="I940" s="413"/>
      <c r="J940" s="413"/>
      <c r="K940" s="413"/>
      <c r="L940" s="413"/>
      <c r="M940" s="413"/>
      <c r="N940" s="413"/>
      <c r="O940" s="413"/>
      <c r="P940" s="413"/>
      <c r="Q940" s="413"/>
      <c r="R940" s="413"/>
      <c r="S940" s="413"/>
      <c r="T940" s="413"/>
      <c r="U940" s="413"/>
      <c r="V940" s="413"/>
      <c r="W940" s="413"/>
      <c r="X940" s="413"/>
      <c r="Y940" s="413"/>
      <c r="Z940" s="413"/>
    </row>
    <row r="941" ht="12.0" customHeight="1">
      <c r="A941" s="413"/>
      <c r="B941" s="413"/>
      <c r="C941" s="414"/>
      <c r="D941" s="413"/>
      <c r="E941" s="413"/>
      <c r="F941" s="413"/>
      <c r="G941" s="413"/>
      <c r="H941" s="413"/>
      <c r="I941" s="413"/>
      <c r="J941" s="413"/>
      <c r="K941" s="413"/>
      <c r="L941" s="413"/>
      <c r="M941" s="413"/>
      <c r="N941" s="413"/>
      <c r="O941" s="413"/>
      <c r="P941" s="413"/>
      <c r="Q941" s="413"/>
      <c r="R941" s="413"/>
      <c r="S941" s="413"/>
      <c r="T941" s="413"/>
      <c r="U941" s="413"/>
      <c r="V941" s="413"/>
      <c r="W941" s="413"/>
      <c r="X941" s="413"/>
      <c r="Y941" s="413"/>
      <c r="Z941" s="413"/>
    </row>
    <row r="942" ht="12.0" customHeight="1">
      <c r="A942" s="413"/>
      <c r="B942" s="413"/>
      <c r="C942" s="414"/>
      <c r="D942" s="413"/>
      <c r="E942" s="413"/>
      <c r="F942" s="413"/>
      <c r="G942" s="413"/>
      <c r="H942" s="413"/>
      <c r="I942" s="413"/>
      <c r="J942" s="413"/>
      <c r="K942" s="413"/>
      <c r="L942" s="413"/>
      <c r="M942" s="413"/>
      <c r="N942" s="413"/>
      <c r="O942" s="413"/>
      <c r="P942" s="413"/>
      <c r="Q942" s="413"/>
      <c r="R942" s="413"/>
      <c r="S942" s="413"/>
      <c r="T942" s="413"/>
      <c r="U942" s="413"/>
      <c r="V942" s="413"/>
      <c r="W942" s="413"/>
      <c r="X942" s="413"/>
      <c r="Y942" s="413"/>
      <c r="Z942" s="413"/>
    </row>
    <row r="943" ht="12.0" customHeight="1">
      <c r="A943" s="413"/>
      <c r="B943" s="413"/>
      <c r="C943" s="414"/>
      <c r="D943" s="413"/>
      <c r="E943" s="413"/>
      <c r="F943" s="413"/>
      <c r="G943" s="413"/>
      <c r="H943" s="413"/>
      <c r="I943" s="413"/>
      <c r="J943" s="413"/>
      <c r="K943" s="413"/>
      <c r="L943" s="413"/>
      <c r="M943" s="413"/>
      <c r="N943" s="413"/>
      <c r="O943" s="413"/>
      <c r="P943" s="413"/>
      <c r="Q943" s="413"/>
      <c r="R943" s="413"/>
      <c r="S943" s="413"/>
      <c r="T943" s="413"/>
      <c r="U943" s="413"/>
      <c r="V943" s="413"/>
      <c r="W943" s="413"/>
      <c r="X943" s="413"/>
      <c r="Y943" s="413"/>
      <c r="Z943" s="413"/>
    </row>
    <row r="944" ht="12.0" customHeight="1">
      <c r="A944" s="413"/>
      <c r="B944" s="413"/>
      <c r="C944" s="414"/>
      <c r="D944" s="413"/>
      <c r="E944" s="413"/>
      <c r="F944" s="413"/>
      <c r="G944" s="413"/>
      <c r="H944" s="413"/>
      <c r="I944" s="413"/>
      <c r="J944" s="413"/>
      <c r="K944" s="413"/>
      <c r="L944" s="413"/>
      <c r="M944" s="413"/>
      <c r="N944" s="413"/>
      <c r="O944" s="413"/>
      <c r="P944" s="413"/>
      <c r="Q944" s="413"/>
      <c r="R944" s="413"/>
      <c r="S944" s="413"/>
      <c r="T944" s="413"/>
      <c r="U944" s="413"/>
      <c r="V944" s="413"/>
      <c r="W944" s="413"/>
      <c r="X944" s="413"/>
      <c r="Y944" s="413"/>
      <c r="Z944" s="413"/>
    </row>
    <row r="945" ht="12.0" customHeight="1">
      <c r="A945" s="413"/>
      <c r="B945" s="413"/>
      <c r="C945" s="414"/>
      <c r="D945" s="413"/>
      <c r="E945" s="413"/>
      <c r="F945" s="413"/>
      <c r="G945" s="413"/>
      <c r="H945" s="413"/>
      <c r="I945" s="413"/>
      <c r="J945" s="413"/>
      <c r="K945" s="413"/>
      <c r="L945" s="413"/>
      <c r="M945" s="413"/>
      <c r="N945" s="413"/>
      <c r="O945" s="413"/>
      <c r="P945" s="413"/>
      <c r="Q945" s="413"/>
      <c r="R945" s="413"/>
      <c r="S945" s="413"/>
      <c r="T945" s="413"/>
      <c r="U945" s="413"/>
      <c r="V945" s="413"/>
      <c r="W945" s="413"/>
      <c r="X945" s="413"/>
      <c r="Y945" s="413"/>
      <c r="Z945" s="413"/>
    </row>
    <row r="946" ht="12.0" customHeight="1">
      <c r="A946" s="413"/>
      <c r="B946" s="413"/>
      <c r="C946" s="414"/>
      <c r="D946" s="413"/>
      <c r="E946" s="413"/>
      <c r="F946" s="413"/>
      <c r="G946" s="413"/>
      <c r="H946" s="413"/>
      <c r="I946" s="413"/>
      <c r="J946" s="413"/>
      <c r="K946" s="413"/>
      <c r="L946" s="413"/>
      <c r="M946" s="413"/>
      <c r="N946" s="413"/>
      <c r="O946" s="413"/>
      <c r="P946" s="413"/>
      <c r="Q946" s="413"/>
      <c r="R946" s="413"/>
      <c r="S946" s="413"/>
      <c r="T946" s="413"/>
      <c r="U946" s="413"/>
      <c r="V946" s="413"/>
      <c r="W946" s="413"/>
      <c r="X946" s="413"/>
      <c r="Y946" s="413"/>
      <c r="Z946" s="413"/>
    </row>
    <row r="947" ht="12.0" customHeight="1">
      <c r="A947" s="413"/>
      <c r="B947" s="413"/>
      <c r="C947" s="414"/>
      <c r="D947" s="413"/>
      <c r="E947" s="413"/>
      <c r="F947" s="413"/>
      <c r="G947" s="413"/>
      <c r="H947" s="413"/>
      <c r="I947" s="413"/>
      <c r="J947" s="413"/>
      <c r="K947" s="413"/>
      <c r="L947" s="413"/>
      <c r="M947" s="413"/>
      <c r="N947" s="413"/>
      <c r="O947" s="413"/>
      <c r="P947" s="413"/>
      <c r="Q947" s="413"/>
      <c r="R947" s="413"/>
      <c r="S947" s="413"/>
      <c r="T947" s="413"/>
      <c r="U947" s="413"/>
      <c r="V947" s="413"/>
      <c r="W947" s="413"/>
      <c r="X947" s="413"/>
      <c r="Y947" s="413"/>
      <c r="Z947" s="413"/>
    </row>
    <row r="948" ht="12.0" customHeight="1">
      <c r="A948" s="413"/>
      <c r="B948" s="413"/>
      <c r="C948" s="414"/>
      <c r="D948" s="413"/>
      <c r="E948" s="413"/>
      <c r="F948" s="413"/>
      <c r="G948" s="413"/>
      <c r="H948" s="413"/>
      <c r="I948" s="413"/>
      <c r="J948" s="413"/>
      <c r="K948" s="413"/>
      <c r="L948" s="413"/>
      <c r="M948" s="413"/>
      <c r="N948" s="413"/>
      <c r="O948" s="413"/>
      <c r="P948" s="413"/>
      <c r="Q948" s="413"/>
      <c r="R948" s="413"/>
      <c r="S948" s="413"/>
      <c r="T948" s="413"/>
      <c r="U948" s="413"/>
      <c r="V948" s="413"/>
      <c r="W948" s="413"/>
      <c r="X948" s="413"/>
      <c r="Y948" s="413"/>
      <c r="Z948" s="413"/>
    </row>
    <row r="949" ht="12.0" customHeight="1">
      <c r="A949" s="413"/>
      <c r="B949" s="413"/>
      <c r="C949" s="414"/>
      <c r="D949" s="413"/>
      <c r="E949" s="413"/>
      <c r="F949" s="413"/>
      <c r="G949" s="413"/>
      <c r="H949" s="413"/>
      <c r="I949" s="413"/>
      <c r="J949" s="413"/>
      <c r="K949" s="413"/>
      <c r="L949" s="413"/>
      <c r="M949" s="413"/>
      <c r="N949" s="413"/>
      <c r="O949" s="413"/>
      <c r="P949" s="413"/>
      <c r="Q949" s="413"/>
      <c r="R949" s="413"/>
      <c r="S949" s="413"/>
      <c r="T949" s="413"/>
      <c r="U949" s="413"/>
      <c r="V949" s="413"/>
      <c r="W949" s="413"/>
      <c r="X949" s="413"/>
      <c r="Y949" s="413"/>
      <c r="Z949" s="413"/>
    </row>
    <row r="950" ht="12.0" customHeight="1">
      <c r="A950" s="413"/>
      <c r="B950" s="413"/>
      <c r="C950" s="414"/>
      <c r="D950" s="413"/>
      <c r="E950" s="413"/>
      <c r="F950" s="413"/>
      <c r="G950" s="413"/>
      <c r="H950" s="413"/>
      <c r="I950" s="413"/>
      <c r="J950" s="413"/>
      <c r="K950" s="413"/>
      <c r="L950" s="413"/>
      <c r="M950" s="413"/>
      <c r="N950" s="413"/>
      <c r="O950" s="413"/>
      <c r="P950" s="413"/>
      <c r="Q950" s="413"/>
      <c r="R950" s="413"/>
      <c r="S950" s="413"/>
      <c r="T950" s="413"/>
      <c r="U950" s="413"/>
      <c r="V950" s="413"/>
      <c r="W950" s="413"/>
      <c r="X950" s="413"/>
      <c r="Y950" s="413"/>
      <c r="Z950" s="413"/>
    </row>
    <row r="951" ht="12.0" customHeight="1">
      <c r="A951" s="413"/>
      <c r="B951" s="413"/>
      <c r="C951" s="414"/>
      <c r="D951" s="413"/>
      <c r="E951" s="413"/>
      <c r="F951" s="413"/>
      <c r="G951" s="413"/>
      <c r="H951" s="413"/>
      <c r="I951" s="413"/>
      <c r="J951" s="413"/>
      <c r="K951" s="413"/>
      <c r="L951" s="413"/>
      <c r="M951" s="413"/>
      <c r="N951" s="413"/>
      <c r="O951" s="413"/>
      <c r="P951" s="413"/>
      <c r="Q951" s="413"/>
      <c r="R951" s="413"/>
      <c r="S951" s="413"/>
      <c r="T951" s="413"/>
      <c r="U951" s="413"/>
      <c r="V951" s="413"/>
      <c r="W951" s="413"/>
      <c r="X951" s="413"/>
      <c r="Y951" s="413"/>
      <c r="Z951" s="413"/>
    </row>
    <row r="952" ht="12.0" customHeight="1">
      <c r="A952" s="413"/>
      <c r="B952" s="413"/>
      <c r="C952" s="414"/>
      <c r="D952" s="413"/>
      <c r="E952" s="413"/>
      <c r="F952" s="413"/>
      <c r="G952" s="413"/>
      <c r="H952" s="413"/>
      <c r="I952" s="413"/>
      <c r="J952" s="413"/>
      <c r="K952" s="413"/>
      <c r="L952" s="413"/>
      <c r="M952" s="413"/>
      <c r="N952" s="413"/>
      <c r="O952" s="413"/>
      <c r="P952" s="413"/>
      <c r="Q952" s="413"/>
      <c r="R952" s="413"/>
      <c r="S952" s="413"/>
      <c r="T952" s="413"/>
      <c r="U952" s="413"/>
      <c r="V952" s="413"/>
      <c r="W952" s="413"/>
      <c r="X952" s="413"/>
      <c r="Y952" s="413"/>
      <c r="Z952" s="413"/>
    </row>
    <row r="953" ht="12.0" customHeight="1">
      <c r="A953" s="413"/>
      <c r="B953" s="413"/>
      <c r="C953" s="414"/>
      <c r="D953" s="413"/>
      <c r="E953" s="413"/>
      <c r="F953" s="413"/>
      <c r="G953" s="413"/>
      <c r="H953" s="413"/>
      <c r="I953" s="413"/>
      <c r="J953" s="413"/>
      <c r="K953" s="413"/>
      <c r="L953" s="413"/>
      <c r="M953" s="413"/>
      <c r="N953" s="413"/>
      <c r="O953" s="413"/>
      <c r="P953" s="413"/>
      <c r="Q953" s="413"/>
      <c r="R953" s="413"/>
      <c r="S953" s="413"/>
      <c r="T953" s="413"/>
      <c r="U953" s="413"/>
      <c r="V953" s="413"/>
      <c r="W953" s="413"/>
      <c r="X953" s="413"/>
      <c r="Y953" s="413"/>
      <c r="Z953" s="413"/>
    </row>
    <row r="954" ht="12.0" customHeight="1">
      <c r="A954" s="413"/>
      <c r="B954" s="413"/>
      <c r="C954" s="414"/>
      <c r="D954" s="413"/>
      <c r="E954" s="413"/>
      <c r="F954" s="413"/>
      <c r="G954" s="413"/>
      <c r="H954" s="413"/>
      <c r="I954" s="413"/>
      <c r="J954" s="413"/>
      <c r="K954" s="413"/>
      <c r="L954" s="413"/>
      <c r="M954" s="413"/>
      <c r="N954" s="413"/>
      <c r="O954" s="413"/>
      <c r="P954" s="413"/>
      <c r="Q954" s="413"/>
      <c r="R954" s="413"/>
      <c r="S954" s="413"/>
      <c r="T954" s="413"/>
      <c r="U954" s="413"/>
      <c r="V954" s="413"/>
      <c r="W954" s="413"/>
      <c r="X954" s="413"/>
      <c r="Y954" s="413"/>
      <c r="Z954" s="413"/>
    </row>
    <row r="955" ht="12.0" customHeight="1">
      <c r="A955" s="413"/>
      <c r="B955" s="413"/>
      <c r="C955" s="414"/>
      <c r="D955" s="413"/>
      <c r="E955" s="413"/>
      <c r="F955" s="413"/>
      <c r="G955" s="413"/>
      <c r="H955" s="413"/>
      <c r="I955" s="413"/>
      <c r="J955" s="413"/>
      <c r="K955" s="413"/>
      <c r="L955" s="413"/>
      <c r="M955" s="413"/>
      <c r="N955" s="413"/>
      <c r="O955" s="413"/>
      <c r="P955" s="413"/>
      <c r="Q955" s="413"/>
      <c r="R955" s="413"/>
      <c r="S955" s="413"/>
      <c r="T955" s="413"/>
      <c r="U955" s="413"/>
      <c r="V955" s="413"/>
      <c r="W955" s="413"/>
      <c r="X955" s="413"/>
      <c r="Y955" s="413"/>
      <c r="Z955" s="413"/>
    </row>
    <row r="956" ht="12.0" customHeight="1">
      <c r="A956" s="413"/>
      <c r="B956" s="413"/>
      <c r="C956" s="414"/>
      <c r="D956" s="413"/>
      <c r="E956" s="413"/>
      <c r="F956" s="413"/>
      <c r="G956" s="413"/>
      <c r="H956" s="413"/>
      <c r="I956" s="413"/>
      <c r="J956" s="413"/>
      <c r="K956" s="413"/>
      <c r="L956" s="413"/>
      <c r="M956" s="413"/>
      <c r="N956" s="413"/>
      <c r="O956" s="413"/>
      <c r="P956" s="413"/>
      <c r="Q956" s="413"/>
      <c r="R956" s="413"/>
      <c r="S956" s="413"/>
      <c r="T956" s="413"/>
      <c r="U956" s="413"/>
      <c r="V956" s="413"/>
      <c r="W956" s="413"/>
      <c r="X956" s="413"/>
      <c r="Y956" s="413"/>
      <c r="Z956" s="413"/>
    </row>
    <row r="957" ht="12.0" customHeight="1">
      <c r="A957" s="413"/>
      <c r="B957" s="413"/>
      <c r="C957" s="414"/>
      <c r="D957" s="413"/>
      <c r="E957" s="413"/>
      <c r="F957" s="413"/>
      <c r="G957" s="413"/>
      <c r="H957" s="413"/>
      <c r="I957" s="413"/>
      <c r="J957" s="413"/>
      <c r="K957" s="413"/>
      <c r="L957" s="413"/>
      <c r="M957" s="413"/>
      <c r="N957" s="413"/>
      <c r="O957" s="413"/>
      <c r="P957" s="413"/>
      <c r="Q957" s="413"/>
      <c r="R957" s="413"/>
      <c r="S957" s="413"/>
      <c r="T957" s="413"/>
      <c r="U957" s="413"/>
      <c r="V957" s="413"/>
      <c r="W957" s="413"/>
      <c r="X957" s="413"/>
      <c r="Y957" s="413"/>
      <c r="Z957" s="413"/>
    </row>
    <row r="958" ht="12.0" customHeight="1">
      <c r="A958" s="413"/>
      <c r="B958" s="413"/>
      <c r="C958" s="414"/>
      <c r="D958" s="413"/>
      <c r="E958" s="413"/>
      <c r="F958" s="413"/>
      <c r="G958" s="413"/>
      <c r="H958" s="413"/>
      <c r="I958" s="413"/>
      <c r="J958" s="413"/>
      <c r="K958" s="413"/>
      <c r="L958" s="413"/>
      <c r="M958" s="413"/>
      <c r="N958" s="413"/>
      <c r="O958" s="413"/>
      <c r="P958" s="413"/>
      <c r="Q958" s="413"/>
      <c r="R958" s="413"/>
      <c r="S958" s="413"/>
      <c r="T958" s="413"/>
      <c r="U958" s="413"/>
      <c r="V958" s="413"/>
      <c r="W958" s="413"/>
      <c r="X958" s="413"/>
      <c r="Y958" s="413"/>
      <c r="Z958" s="413"/>
    </row>
    <row r="959" ht="12.0" customHeight="1">
      <c r="A959" s="413"/>
      <c r="B959" s="413"/>
      <c r="C959" s="414"/>
      <c r="D959" s="413"/>
      <c r="E959" s="413"/>
      <c r="F959" s="413"/>
      <c r="G959" s="413"/>
      <c r="H959" s="413"/>
      <c r="I959" s="413"/>
      <c r="J959" s="413"/>
      <c r="K959" s="413"/>
      <c r="L959" s="413"/>
      <c r="M959" s="413"/>
      <c r="N959" s="413"/>
      <c r="O959" s="413"/>
      <c r="P959" s="413"/>
      <c r="Q959" s="413"/>
      <c r="R959" s="413"/>
      <c r="S959" s="413"/>
      <c r="T959" s="413"/>
      <c r="U959" s="413"/>
      <c r="V959" s="413"/>
      <c r="W959" s="413"/>
      <c r="X959" s="413"/>
      <c r="Y959" s="413"/>
      <c r="Z959" s="413"/>
    </row>
    <row r="960" ht="12.0" customHeight="1">
      <c r="A960" s="413"/>
      <c r="B960" s="413"/>
      <c r="C960" s="414"/>
      <c r="D960" s="413"/>
      <c r="E960" s="413"/>
      <c r="F960" s="413"/>
      <c r="G960" s="413"/>
      <c r="H960" s="413"/>
      <c r="I960" s="413"/>
      <c r="J960" s="413"/>
      <c r="K960" s="413"/>
      <c r="L960" s="413"/>
      <c r="M960" s="413"/>
      <c r="N960" s="413"/>
      <c r="O960" s="413"/>
      <c r="P960" s="413"/>
      <c r="Q960" s="413"/>
      <c r="R960" s="413"/>
      <c r="S960" s="413"/>
      <c r="T960" s="413"/>
      <c r="U960" s="413"/>
      <c r="V960" s="413"/>
      <c r="W960" s="413"/>
      <c r="X960" s="413"/>
      <c r="Y960" s="413"/>
      <c r="Z960" s="413"/>
    </row>
    <row r="961" ht="12.0" customHeight="1">
      <c r="A961" s="413"/>
      <c r="B961" s="413"/>
      <c r="C961" s="414"/>
      <c r="D961" s="413"/>
      <c r="E961" s="413"/>
      <c r="F961" s="413"/>
      <c r="G961" s="413"/>
      <c r="H961" s="413"/>
      <c r="I961" s="413"/>
      <c r="J961" s="413"/>
      <c r="K961" s="413"/>
      <c r="L961" s="413"/>
      <c r="M961" s="413"/>
      <c r="N961" s="413"/>
      <c r="O961" s="413"/>
      <c r="P961" s="413"/>
      <c r="Q961" s="413"/>
      <c r="R961" s="413"/>
      <c r="S961" s="413"/>
      <c r="T961" s="413"/>
      <c r="U961" s="413"/>
      <c r="V961" s="413"/>
      <c r="W961" s="413"/>
      <c r="X961" s="413"/>
      <c r="Y961" s="413"/>
      <c r="Z961" s="413"/>
    </row>
    <row r="962" ht="12.0" customHeight="1">
      <c r="A962" s="413"/>
      <c r="B962" s="413"/>
      <c r="C962" s="414"/>
      <c r="D962" s="413"/>
      <c r="E962" s="413"/>
      <c r="F962" s="413"/>
      <c r="G962" s="413"/>
      <c r="H962" s="413"/>
      <c r="I962" s="413"/>
      <c r="J962" s="413"/>
      <c r="K962" s="413"/>
      <c r="L962" s="413"/>
      <c r="M962" s="413"/>
      <c r="N962" s="413"/>
      <c r="O962" s="413"/>
      <c r="P962" s="413"/>
      <c r="Q962" s="413"/>
      <c r="R962" s="413"/>
      <c r="S962" s="413"/>
      <c r="T962" s="413"/>
      <c r="U962" s="413"/>
      <c r="V962" s="413"/>
      <c r="W962" s="413"/>
      <c r="X962" s="413"/>
      <c r="Y962" s="413"/>
      <c r="Z962" s="413"/>
    </row>
    <row r="963" ht="12.0" customHeight="1">
      <c r="A963" s="413"/>
      <c r="B963" s="413"/>
      <c r="C963" s="414"/>
      <c r="D963" s="413"/>
      <c r="E963" s="413"/>
      <c r="F963" s="413"/>
      <c r="G963" s="413"/>
      <c r="H963" s="413"/>
      <c r="I963" s="413"/>
      <c r="J963" s="413"/>
      <c r="K963" s="413"/>
      <c r="L963" s="413"/>
      <c r="M963" s="413"/>
      <c r="N963" s="413"/>
      <c r="O963" s="413"/>
      <c r="P963" s="413"/>
      <c r="Q963" s="413"/>
      <c r="R963" s="413"/>
      <c r="S963" s="413"/>
      <c r="T963" s="413"/>
      <c r="U963" s="413"/>
      <c r="V963" s="413"/>
      <c r="W963" s="413"/>
      <c r="X963" s="413"/>
      <c r="Y963" s="413"/>
      <c r="Z963" s="413"/>
    </row>
    <row r="964" ht="12.0" customHeight="1">
      <c r="A964" s="413"/>
      <c r="B964" s="413"/>
      <c r="C964" s="414"/>
      <c r="D964" s="413"/>
      <c r="E964" s="413"/>
      <c r="F964" s="413"/>
      <c r="G964" s="413"/>
      <c r="H964" s="413"/>
      <c r="I964" s="413"/>
      <c r="J964" s="413"/>
      <c r="K964" s="413"/>
      <c r="L964" s="413"/>
      <c r="M964" s="413"/>
      <c r="N964" s="413"/>
      <c r="O964" s="413"/>
      <c r="P964" s="413"/>
      <c r="Q964" s="413"/>
      <c r="R964" s="413"/>
      <c r="S964" s="413"/>
      <c r="T964" s="413"/>
      <c r="U964" s="413"/>
      <c r="V964" s="413"/>
      <c r="W964" s="413"/>
      <c r="X964" s="413"/>
      <c r="Y964" s="413"/>
      <c r="Z964" s="413"/>
    </row>
    <row r="965" ht="12.0" customHeight="1">
      <c r="A965" s="413"/>
      <c r="B965" s="413"/>
      <c r="C965" s="414"/>
      <c r="D965" s="413"/>
      <c r="E965" s="413"/>
      <c r="F965" s="413"/>
      <c r="G965" s="413"/>
      <c r="H965" s="413"/>
      <c r="I965" s="413"/>
      <c r="J965" s="413"/>
      <c r="K965" s="413"/>
      <c r="L965" s="413"/>
      <c r="M965" s="413"/>
      <c r="N965" s="413"/>
      <c r="O965" s="413"/>
      <c r="P965" s="413"/>
      <c r="Q965" s="413"/>
      <c r="R965" s="413"/>
      <c r="S965" s="413"/>
      <c r="T965" s="413"/>
      <c r="U965" s="413"/>
      <c r="V965" s="413"/>
      <c r="W965" s="413"/>
      <c r="X965" s="413"/>
      <c r="Y965" s="413"/>
      <c r="Z965" s="413"/>
    </row>
    <row r="966" ht="12.0" customHeight="1">
      <c r="A966" s="413"/>
      <c r="B966" s="413"/>
      <c r="C966" s="414"/>
      <c r="D966" s="413"/>
      <c r="E966" s="413"/>
      <c r="F966" s="413"/>
      <c r="G966" s="413"/>
      <c r="H966" s="413"/>
      <c r="I966" s="413"/>
      <c r="J966" s="413"/>
      <c r="K966" s="413"/>
      <c r="L966" s="413"/>
      <c r="M966" s="413"/>
      <c r="N966" s="413"/>
      <c r="O966" s="413"/>
      <c r="P966" s="413"/>
      <c r="Q966" s="413"/>
      <c r="R966" s="413"/>
      <c r="S966" s="413"/>
      <c r="T966" s="413"/>
      <c r="U966" s="413"/>
      <c r="V966" s="413"/>
      <c r="W966" s="413"/>
      <c r="X966" s="413"/>
      <c r="Y966" s="413"/>
      <c r="Z966" s="413"/>
    </row>
    <row r="967" ht="12.0" customHeight="1">
      <c r="A967" s="413"/>
      <c r="B967" s="413"/>
      <c r="C967" s="414"/>
      <c r="D967" s="413"/>
      <c r="E967" s="413"/>
      <c r="F967" s="413"/>
      <c r="G967" s="413"/>
      <c r="H967" s="413"/>
      <c r="I967" s="413"/>
      <c r="J967" s="413"/>
      <c r="K967" s="413"/>
      <c r="L967" s="413"/>
      <c r="M967" s="413"/>
      <c r="N967" s="413"/>
      <c r="O967" s="413"/>
      <c r="P967" s="413"/>
      <c r="Q967" s="413"/>
      <c r="R967" s="413"/>
      <c r="S967" s="413"/>
      <c r="T967" s="413"/>
      <c r="U967" s="413"/>
      <c r="V967" s="413"/>
      <c r="W967" s="413"/>
      <c r="X967" s="413"/>
      <c r="Y967" s="413"/>
      <c r="Z967" s="413"/>
    </row>
    <row r="968" ht="12.0" customHeight="1">
      <c r="A968" s="413"/>
      <c r="B968" s="413"/>
      <c r="C968" s="414"/>
      <c r="D968" s="413"/>
      <c r="E968" s="413"/>
      <c r="F968" s="413"/>
      <c r="G968" s="413"/>
      <c r="H968" s="413"/>
      <c r="I968" s="413"/>
      <c r="J968" s="413"/>
      <c r="K968" s="413"/>
      <c r="L968" s="413"/>
      <c r="M968" s="413"/>
      <c r="N968" s="413"/>
      <c r="O968" s="413"/>
      <c r="P968" s="413"/>
      <c r="Q968" s="413"/>
      <c r="R968" s="413"/>
      <c r="S968" s="413"/>
      <c r="T968" s="413"/>
      <c r="U968" s="413"/>
      <c r="V968" s="413"/>
      <c r="W968" s="413"/>
      <c r="X968" s="413"/>
      <c r="Y968" s="413"/>
      <c r="Z968" s="413"/>
    </row>
    <row r="969" ht="12.0" customHeight="1">
      <c r="A969" s="413"/>
      <c r="B969" s="413"/>
      <c r="C969" s="414"/>
      <c r="D969" s="413"/>
      <c r="E969" s="413"/>
      <c r="F969" s="413"/>
      <c r="G969" s="413"/>
      <c r="H969" s="413"/>
      <c r="I969" s="413"/>
      <c r="J969" s="413"/>
      <c r="K969" s="413"/>
      <c r="L969" s="413"/>
      <c r="M969" s="413"/>
      <c r="N969" s="413"/>
      <c r="O969" s="413"/>
      <c r="P969" s="413"/>
      <c r="Q969" s="413"/>
      <c r="R969" s="413"/>
      <c r="S969" s="413"/>
      <c r="T969" s="413"/>
      <c r="U969" s="413"/>
      <c r="V969" s="413"/>
      <c r="W969" s="413"/>
      <c r="X969" s="413"/>
      <c r="Y969" s="413"/>
      <c r="Z969" s="413"/>
    </row>
    <row r="970" ht="12.0" customHeight="1">
      <c r="A970" s="413"/>
      <c r="B970" s="413"/>
      <c r="C970" s="414"/>
      <c r="D970" s="413"/>
      <c r="E970" s="413"/>
      <c r="F970" s="413"/>
      <c r="G970" s="413"/>
      <c r="H970" s="413"/>
      <c r="I970" s="413"/>
      <c r="J970" s="413"/>
      <c r="K970" s="413"/>
      <c r="L970" s="413"/>
      <c r="M970" s="413"/>
      <c r="N970" s="413"/>
      <c r="O970" s="413"/>
      <c r="P970" s="413"/>
      <c r="Q970" s="413"/>
      <c r="R970" s="413"/>
      <c r="S970" s="413"/>
      <c r="T970" s="413"/>
      <c r="U970" s="413"/>
      <c r="V970" s="413"/>
      <c r="W970" s="413"/>
      <c r="X970" s="413"/>
      <c r="Y970" s="413"/>
      <c r="Z970" s="413"/>
    </row>
    <row r="971" ht="12.0" customHeight="1">
      <c r="A971" s="413"/>
      <c r="B971" s="413"/>
      <c r="C971" s="414"/>
      <c r="D971" s="413"/>
      <c r="E971" s="413"/>
      <c r="F971" s="413"/>
      <c r="G971" s="413"/>
      <c r="H971" s="413"/>
      <c r="I971" s="413"/>
      <c r="J971" s="413"/>
      <c r="K971" s="413"/>
      <c r="L971" s="413"/>
      <c r="M971" s="413"/>
      <c r="N971" s="413"/>
      <c r="O971" s="413"/>
      <c r="P971" s="413"/>
      <c r="Q971" s="413"/>
      <c r="R971" s="413"/>
      <c r="S971" s="413"/>
      <c r="T971" s="413"/>
      <c r="U971" s="413"/>
      <c r="V971" s="413"/>
      <c r="W971" s="413"/>
      <c r="X971" s="413"/>
      <c r="Y971" s="413"/>
      <c r="Z971" s="413"/>
    </row>
    <row r="972" ht="12.0" customHeight="1">
      <c r="A972" s="413"/>
      <c r="B972" s="413"/>
      <c r="C972" s="414"/>
      <c r="D972" s="413"/>
      <c r="E972" s="413"/>
      <c r="F972" s="413"/>
      <c r="G972" s="413"/>
      <c r="H972" s="413"/>
      <c r="I972" s="413"/>
      <c r="J972" s="413"/>
      <c r="K972" s="413"/>
      <c r="L972" s="413"/>
      <c r="M972" s="413"/>
      <c r="N972" s="413"/>
      <c r="O972" s="413"/>
      <c r="P972" s="413"/>
      <c r="Q972" s="413"/>
      <c r="R972" s="413"/>
      <c r="S972" s="413"/>
      <c r="T972" s="413"/>
      <c r="U972" s="413"/>
      <c r="V972" s="413"/>
      <c r="W972" s="413"/>
      <c r="X972" s="413"/>
      <c r="Y972" s="413"/>
      <c r="Z972" s="413"/>
    </row>
    <row r="973" ht="12.0" customHeight="1">
      <c r="A973" s="413"/>
      <c r="B973" s="413"/>
      <c r="C973" s="414"/>
      <c r="D973" s="413"/>
      <c r="E973" s="413"/>
      <c r="F973" s="413"/>
      <c r="G973" s="413"/>
      <c r="H973" s="413"/>
      <c r="I973" s="413"/>
      <c r="J973" s="413"/>
      <c r="K973" s="413"/>
      <c r="L973" s="413"/>
      <c r="M973" s="413"/>
      <c r="N973" s="413"/>
      <c r="O973" s="413"/>
      <c r="P973" s="413"/>
      <c r="Q973" s="413"/>
      <c r="R973" s="413"/>
      <c r="S973" s="413"/>
      <c r="T973" s="413"/>
      <c r="U973" s="413"/>
      <c r="V973" s="413"/>
      <c r="W973" s="413"/>
      <c r="X973" s="413"/>
      <c r="Y973" s="413"/>
      <c r="Z973" s="413"/>
    </row>
    <row r="974" ht="12.0" customHeight="1">
      <c r="A974" s="413"/>
      <c r="B974" s="413"/>
      <c r="C974" s="414"/>
      <c r="D974" s="413"/>
      <c r="E974" s="413"/>
      <c r="F974" s="413"/>
      <c r="G974" s="413"/>
      <c r="H974" s="413"/>
      <c r="I974" s="413"/>
      <c r="J974" s="413"/>
      <c r="K974" s="413"/>
      <c r="L974" s="413"/>
      <c r="M974" s="413"/>
      <c r="N974" s="413"/>
      <c r="O974" s="413"/>
      <c r="P974" s="413"/>
      <c r="Q974" s="413"/>
      <c r="R974" s="413"/>
      <c r="S974" s="413"/>
      <c r="T974" s="413"/>
      <c r="U974" s="413"/>
      <c r="V974" s="413"/>
      <c r="W974" s="413"/>
      <c r="X974" s="413"/>
      <c r="Y974" s="413"/>
      <c r="Z974" s="413"/>
    </row>
    <row r="975" ht="12.0" customHeight="1">
      <c r="A975" s="413"/>
      <c r="B975" s="413"/>
      <c r="C975" s="414"/>
      <c r="D975" s="413"/>
      <c r="E975" s="413"/>
      <c r="F975" s="413"/>
      <c r="G975" s="413"/>
      <c r="H975" s="413"/>
      <c r="I975" s="413"/>
      <c r="J975" s="413"/>
      <c r="K975" s="413"/>
      <c r="L975" s="413"/>
      <c r="M975" s="413"/>
      <c r="N975" s="413"/>
      <c r="O975" s="413"/>
      <c r="P975" s="413"/>
      <c r="Q975" s="413"/>
      <c r="R975" s="413"/>
      <c r="S975" s="413"/>
      <c r="T975" s="413"/>
      <c r="U975" s="413"/>
      <c r="V975" s="413"/>
      <c r="W975" s="413"/>
      <c r="X975" s="413"/>
      <c r="Y975" s="413"/>
      <c r="Z975" s="413"/>
    </row>
    <row r="976" ht="12.0" customHeight="1">
      <c r="A976" s="413"/>
      <c r="B976" s="413"/>
      <c r="C976" s="414"/>
      <c r="D976" s="413"/>
      <c r="E976" s="413"/>
      <c r="F976" s="413"/>
      <c r="G976" s="413"/>
      <c r="H976" s="413"/>
      <c r="I976" s="413"/>
      <c r="J976" s="413"/>
      <c r="K976" s="413"/>
      <c r="L976" s="413"/>
      <c r="M976" s="413"/>
      <c r="N976" s="413"/>
      <c r="O976" s="413"/>
      <c r="P976" s="413"/>
      <c r="Q976" s="413"/>
      <c r="R976" s="413"/>
      <c r="S976" s="413"/>
      <c r="T976" s="413"/>
      <c r="U976" s="413"/>
      <c r="V976" s="413"/>
      <c r="W976" s="413"/>
      <c r="X976" s="413"/>
      <c r="Y976" s="413"/>
      <c r="Z976" s="413"/>
    </row>
    <row r="977" ht="12.0" customHeight="1">
      <c r="A977" s="413"/>
      <c r="B977" s="413"/>
      <c r="C977" s="414"/>
      <c r="D977" s="413"/>
      <c r="E977" s="413"/>
      <c r="F977" s="413"/>
      <c r="G977" s="413"/>
      <c r="H977" s="413"/>
      <c r="I977" s="413"/>
      <c r="J977" s="413"/>
      <c r="K977" s="413"/>
      <c r="L977" s="413"/>
      <c r="M977" s="413"/>
      <c r="N977" s="413"/>
      <c r="O977" s="413"/>
      <c r="P977" s="413"/>
      <c r="Q977" s="413"/>
      <c r="R977" s="413"/>
      <c r="S977" s="413"/>
      <c r="T977" s="413"/>
      <c r="U977" s="413"/>
      <c r="V977" s="413"/>
      <c r="W977" s="413"/>
      <c r="X977" s="413"/>
      <c r="Y977" s="413"/>
      <c r="Z977" s="413"/>
    </row>
    <row r="978" ht="12.0" customHeight="1">
      <c r="A978" s="413"/>
      <c r="B978" s="413"/>
      <c r="C978" s="414"/>
      <c r="D978" s="413"/>
      <c r="E978" s="413"/>
      <c r="F978" s="413"/>
      <c r="G978" s="413"/>
      <c r="H978" s="413"/>
      <c r="I978" s="413"/>
      <c r="J978" s="413"/>
      <c r="K978" s="413"/>
      <c r="L978" s="413"/>
      <c r="M978" s="413"/>
      <c r="N978" s="413"/>
      <c r="O978" s="413"/>
      <c r="P978" s="413"/>
      <c r="Q978" s="413"/>
      <c r="R978" s="413"/>
      <c r="S978" s="413"/>
      <c r="T978" s="413"/>
      <c r="U978" s="413"/>
      <c r="V978" s="413"/>
      <c r="W978" s="413"/>
      <c r="X978" s="413"/>
      <c r="Y978" s="413"/>
      <c r="Z978" s="413"/>
    </row>
    <row r="979" ht="12.0" customHeight="1">
      <c r="A979" s="413"/>
      <c r="B979" s="413"/>
      <c r="C979" s="414"/>
      <c r="D979" s="413"/>
      <c r="E979" s="413"/>
      <c r="F979" s="413"/>
      <c r="G979" s="413"/>
      <c r="H979" s="413"/>
      <c r="I979" s="413"/>
      <c r="J979" s="413"/>
      <c r="K979" s="413"/>
      <c r="L979" s="413"/>
      <c r="M979" s="413"/>
      <c r="N979" s="413"/>
      <c r="O979" s="413"/>
      <c r="P979" s="413"/>
      <c r="Q979" s="413"/>
      <c r="R979" s="413"/>
      <c r="S979" s="413"/>
      <c r="T979" s="413"/>
      <c r="U979" s="413"/>
      <c r="V979" s="413"/>
      <c r="W979" s="413"/>
      <c r="X979" s="413"/>
      <c r="Y979" s="413"/>
      <c r="Z979" s="413"/>
    </row>
    <row r="980" ht="12.0" customHeight="1">
      <c r="A980" s="413"/>
      <c r="B980" s="413"/>
      <c r="C980" s="414"/>
      <c r="D980" s="413"/>
      <c r="E980" s="413"/>
      <c r="F980" s="413"/>
      <c r="G980" s="413"/>
      <c r="H980" s="413"/>
      <c r="I980" s="413"/>
      <c r="J980" s="413"/>
      <c r="K980" s="413"/>
      <c r="L980" s="413"/>
      <c r="M980" s="413"/>
      <c r="N980" s="413"/>
      <c r="O980" s="413"/>
      <c r="P980" s="413"/>
      <c r="Q980" s="413"/>
      <c r="R980" s="413"/>
      <c r="S980" s="413"/>
      <c r="T980" s="413"/>
      <c r="U980" s="413"/>
      <c r="V980" s="413"/>
      <c r="W980" s="413"/>
      <c r="X980" s="413"/>
      <c r="Y980" s="413"/>
      <c r="Z980" s="413"/>
    </row>
    <row r="981" ht="12.0" customHeight="1">
      <c r="A981" s="413"/>
      <c r="B981" s="413"/>
      <c r="C981" s="414"/>
      <c r="D981" s="413"/>
      <c r="E981" s="413"/>
      <c r="F981" s="413"/>
      <c r="G981" s="413"/>
      <c r="H981" s="413"/>
      <c r="I981" s="413"/>
      <c r="J981" s="413"/>
      <c r="K981" s="413"/>
      <c r="L981" s="413"/>
      <c r="M981" s="413"/>
      <c r="N981" s="413"/>
      <c r="O981" s="413"/>
      <c r="P981" s="413"/>
      <c r="Q981" s="413"/>
      <c r="R981" s="413"/>
      <c r="S981" s="413"/>
      <c r="T981" s="413"/>
      <c r="U981" s="413"/>
      <c r="V981" s="413"/>
      <c r="W981" s="413"/>
      <c r="X981" s="413"/>
      <c r="Y981" s="413"/>
      <c r="Z981" s="413"/>
    </row>
    <row r="982" ht="12.0" customHeight="1">
      <c r="A982" s="413"/>
      <c r="B982" s="413"/>
      <c r="C982" s="414"/>
      <c r="D982" s="413"/>
      <c r="E982" s="413"/>
      <c r="F982" s="413"/>
      <c r="G982" s="413"/>
      <c r="H982" s="413"/>
      <c r="I982" s="413"/>
      <c r="J982" s="413"/>
      <c r="K982" s="413"/>
      <c r="L982" s="413"/>
      <c r="M982" s="413"/>
      <c r="N982" s="413"/>
      <c r="O982" s="413"/>
      <c r="P982" s="413"/>
      <c r="Q982" s="413"/>
      <c r="R982" s="413"/>
      <c r="S982" s="413"/>
      <c r="T982" s="413"/>
      <c r="U982" s="413"/>
      <c r="V982" s="413"/>
      <c r="W982" s="413"/>
      <c r="X982" s="413"/>
      <c r="Y982" s="413"/>
      <c r="Z982" s="413"/>
    </row>
    <row r="983" ht="12.0" customHeight="1">
      <c r="A983" s="413"/>
      <c r="B983" s="413"/>
      <c r="C983" s="414"/>
      <c r="D983" s="413"/>
      <c r="E983" s="413"/>
      <c r="F983" s="413"/>
      <c r="G983" s="413"/>
      <c r="H983" s="413"/>
      <c r="I983" s="413"/>
      <c r="J983" s="413"/>
      <c r="K983" s="413"/>
      <c r="L983" s="413"/>
      <c r="M983" s="413"/>
      <c r="N983" s="413"/>
      <c r="O983" s="413"/>
      <c r="P983" s="413"/>
      <c r="Q983" s="413"/>
      <c r="R983" s="413"/>
      <c r="S983" s="413"/>
      <c r="T983" s="413"/>
      <c r="U983" s="413"/>
      <c r="V983" s="413"/>
      <c r="W983" s="413"/>
      <c r="X983" s="413"/>
      <c r="Y983" s="413"/>
      <c r="Z983" s="413"/>
    </row>
    <row r="984" ht="12.0" customHeight="1">
      <c r="A984" s="413"/>
      <c r="B984" s="413"/>
      <c r="C984" s="414"/>
      <c r="D984" s="413"/>
      <c r="E984" s="413"/>
      <c r="F984" s="413"/>
      <c r="G984" s="413"/>
      <c r="H984" s="413"/>
      <c r="I984" s="413"/>
      <c r="J984" s="413"/>
      <c r="K984" s="413"/>
      <c r="L984" s="413"/>
      <c r="M984" s="413"/>
      <c r="N984" s="413"/>
      <c r="O984" s="413"/>
      <c r="P984" s="413"/>
      <c r="Q984" s="413"/>
      <c r="R984" s="413"/>
      <c r="S984" s="413"/>
      <c r="T984" s="413"/>
      <c r="U984" s="413"/>
      <c r="V984" s="413"/>
      <c r="W984" s="413"/>
      <c r="X984" s="413"/>
      <c r="Y984" s="413"/>
      <c r="Z984" s="413"/>
    </row>
    <row r="985" ht="12.0" customHeight="1">
      <c r="A985" s="413"/>
      <c r="B985" s="413"/>
      <c r="C985" s="414"/>
      <c r="D985" s="413"/>
      <c r="E985" s="413"/>
      <c r="F985" s="413"/>
      <c r="G985" s="413"/>
      <c r="H985" s="413"/>
      <c r="I985" s="413"/>
      <c r="J985" s="413"/>
      <c r="K985" s="413"/>
      <c r="L985" s="413"/>
      <c r="M985" s="413"/>
      <c r="N985" s="413"/>
      <c r="O985" s="413"/>
      <c r="P985" s="413"/>
      <c r="Q985" s="413"/>
      <c r="R985" s="413"/>
      <c r="S985" s="413"/>
      <c r="T985" s="413"/>
      <c r="U985" s="413"/>
      <c r="V985" s="413"/>
      <c r="W985" s="413"/>
      <c r="X985" s="413"/>
      <c r="Y985" s="413"/>
      <c r="Z985" s="413"/>
    </row>
    <row r="986" ht="12.0" customHeight="1">
      <c r="A986" s="413"/>
      <c r="B986" s="413"/>
      <c r="C986" s="414"/>
      <c r="D986" s="413"/>
      <c r="E986" s="413"/>
      <c r="F986" s="413"/>
      <c r="G986" s="413"/>
      <c r="H986" s="413"/>
      <c r="I986" s="413"/>
      <c r="J986" s="413"/>
      <c r="K986" s="413"/>
      <c r="L986" s="413"/>
      <c r="M986" s="413"/>
      <c r="N986" s="413"/>
      <c r="O986" s="413"/>
      <c r="P986" s="413"/>
      <c r="Q986" s="413"/>
      <c r="R986" s="413"/>
      <c r="S986" s="413"/>
      <c r="T986" s="413"/>
      <c r="U986" s="413"/>
      <c r="V986" s="413"/>
      <c r="W986" s="413"/>
      <c r="X986" s="413"/>
      <c r="Y986" s="413"/>
      <c r="Z986" s="413"/>
    </row>
    <row r="987" ht="12.0" customHeight="1">
      <c r="A987" s="413"/>
      <c r="B987" s="413"/>
      <c r="C987" s="414"/>
      <c r="D987" s="413"/>
      <c r="E987" s="413"/>
      <c r="F987" s="413"/>
      <c r="G987" s="413"/>
      <c r="H987" s="413"/>
      <c r="I987" s="413"/>
      <c r="J987" s="413"/>
      <c r="K987" s="413"/>
      <c r="L987" s="413"/>
      <c r="M987" s="413"/>
      <c r="N987" s="413"/>
      <c r="O987" s="413"/>
      <c r="P987" s="413"/>
      <c r="Q987" s="413"/>
      <c r="R987" s="413"/>
      <c r="S987" s="413"/>
      <c r="T987" s="413"/>
      <c r="U987" s="413"/>
      <c r="V987" s="413"/>
      <c r="W987" s="413"/>
      <c r="X987" s="413"/>
      <c r="Y987" s="413"/>
      <c r="Z987" s="413"/>
    </row>
    <row r="988" ht="12.0" customHeight="1">
      <c r="A988" s="413"/>
      <c r="B988" s="413"/>
      <c r="C988" s="414"/>
      <c r="D988" s="413"/>
      <c r="E988" s="413"/>
      <c r="F988" s="413"/>
      <c r="G988" s="413"/>
      <c r="H988" s="413"/>
      <c r="I988" s="413"/>
      <c r="J988" s="413"/>
      <c r="K988" s="413"/>
      <c r="L988" s="413"/>
      <c r="M988" s="413"/>
      <c r="N988" s="413"/>
      <c r="O988" s="413"/>
      <c r="P988" s="413"/>
      <c r="Q988" s="413"/>
      <c r="R988" s="413"/>
      <c r="S988" s="413"/>
      <c r="T988" s="413"/>
      <c r="U988" s="413"/>
      <c r="V988" s="413"/>
      <c r="W988" s="413"/>
      <c r="X988" s="413"/>
      <c r="Y988" s="413"/>
      <c r="Z988" s="413"/>
    </row>
    <row r="989" ht="12.0" customHeight="1">
      <c r="A989" s="413"/>
      <c r="B989" s="413"/>
      <c r="C989" s="414"/>
      <c r="D989" s="413"/>
      <c r="E989" s="413"/>
      <c r="F989" s="413"/>
      <c r="G989" s="413"/>
      <c r="H989" s="413"/>
      <c r="I989" s="413"/>
      <c r="J989" s="413"/>
      <c r="K989" s="413"/>
      <c r="L989" s="413"/>
      <c r="M989" s="413"/>
      <c r="N989" s="413"/>
      <c r="O989" s="413"/>
      <c r="P989" s="413"/>
      <c r="Q989" s="413"/>
      <c r="R989" s="413"/>
      <c r="S989" s="413"/>
      <c r="T989" s="413"/>
      <c r="U989" s="413"/>
      <c r="V989" s="413"/>
      <c r="W989" s="413"/>
      <c r="X989" s="413"/>
      <c r="Y989" s="413"/>
      <c r="Z989" s="413"/>
    </row>
    <row r="990" ht="12.0" customHeight="1">
      <c r="A990" s="413"/>
      <c r="B990" s="413"/>
      <c r="C990" s="414"/>
      <c r="D990" s="413"/>
      <c r="E990" s="413"/>
      <c r="F990" s="413"/>
      <c r="G990" s="413"/>
      <c r="H990" s="413"/>
      <c r="I990" s="413"/>
      <c r="J990" s="413"/>
      <c r="K990" s="413"/>
      <c r="L990" s="413"/>
      <c r="M990" s="413"/>
      <c r="N990" s="413"/>
      <c r="O990" s="413"/>
      <c r="P990" s="413"/>
      <c r="Q990" s="413"/>
      <c r="R990" s="413"/>
      <c r="S990" s="413"/>
      <c r="T990" s="413"/>
      <c r="U990" s="413"/>
      <c r="V990" s="413"/>
      <c r="W990" s="413"/>
      <c r="X990" s="413"/>
      <c r="Y990" s="413"/>
      <c r="Z990" s="413"/>
    </row>
    <row r="991" ht="12.0" customHeight="1">
      <c r="A991" s="413"/>
      <c r="B991" s="413"/>
      <c r="C991" s="414"/>
      <c r="D991" s="413"/>
      <c r="E991" s="413"/>
      <c r="F991" s="413"/>
      <c r="G991" s="413"/>
      <c r="H991" s="413"/>
      <c r="I991" s="413"/>
      <c r="J991" s="413"/>
      <c r="K991" s="413"/>
      <c r="L991" s="413"/>
      <c r="M991" s="413"/>
      <c r="N991" s="413"/>
      <c r="O991" s="413"/>
      <c r="P991" s="413"/>
      <c r="Q991" s="413"/>
      <c r="R991" s="413"/>
      <c r="S991" s="413"/>
      <c r="T991" s="413"/>
      <c r="U991" s="413"/>
      <c r="V991" s="413"/>
      <c r="W991" s="413"/>
      <c r="X991" s="413"/>
      <c r="Y991" s="413"/>
      <c r="Z991" s="413"/>
    </row>
    <row r="992" ht="12.0" customHeight="1">
      <c r="A992" s="413"/>
      <c r="B992" s="413"/>
      <c r="C992" s="414"/>
      <c r="D992" s="413"/>
      <c r="E992" s="413"/>
      <c r="F992" s="413"/>
      <c r="G992" s="413"/>
      <c r="H992" s="413"/>
      <c r="I992" s="413"/>
      <c r="J992" s="413"/>
      <c r="K992" s="413"/>
      <c r="L992" s="413"/>
      <c r="M992" s="413"/>
      <c r="N992" s="413"/>
      <c r="O992" s="413"/>
      <c r="P992" s="413"/>
      <c r="Q992" s="413"/>
      <c r="R992" s="413"/>
      <c r="S992" s="413"/>
      <c r="T992" s="413"/>
      <c r="U992" s="413"/>
      <c r="V992" s="413"/>
      <c r="W992" s="413"/>
      <c r="X992" s="413"/>
      <c r="Y992" s="413"/>
      <c r="Z992" s="413"/>
    </row>
    <row r="993" ht="12.0" customHeight="1">
      <c r="A993" s="413"/>
      <c r="B993" s="413"/>
      <c r="C993" s="414"/>
      <c r="D993" s="413"/>
      <c r="E993" s="413"/>
      <c r="F993" s="413"/>
      <c r="G993" s="413"/>
      <c r="H993" s="413"/>
      <c r="I993" s="413"/>
      <c r="J993" s="413"/>
      <c r="K993" s="413"/>
      <c r="L993" s="413"/>
      <c r="M993" s="413"/>
      <c r="N993" s="413"/>
      <c r="O993" s="413"/>
      <c r="P993" s="413"/>
      <c r="Q993" s="413"/>
      <c r="R993" s="413"/>
      <c r="S993" s="413"/>
      <c r="T993" s="413"/>
      <c r="U993" s="413"/>
      <c r="V993" s="413"/>
      <c r="W993" s="413"/>
      <c r="X993" s="413"/>
      <c r="Y993" s="413"/>
      <c r="Z993" s="413"/>
    </row>
    <row r="994" ht="12.0" customHeight="1">
      <c r="A994" s="413"/>
      <c r="B994" s="413"/>
      <c r="C994" s="414"/>
      <c r="D994" s="413"/>
      <c r="E994" s="413"/>
      <c r="F994" s="413"/>
      <c r="G994" s="413"/>
      <c r="H994" s="413"/>
      <c r="I994" s="413"/>
      <c r="J994" s="413"/>
      <c r="K994" s="413"/>
      <c r="L994" s="413"/>
      <c r="M994" s="413"/>
      <c r="N994" s="413"/>
      <c r="O994" s="413"/>
      <c r="P994" s="413"/>
      <c r="Q994" s="413"/>
      <c r="R994" s="413"/>
      <c r="S994" s="413"/>
      <c r="T994" s="413"/>
      <c r="U994" s="413"/>
      <c r="V994" s="413"/>
      <c r="W994" s="413"/>
      <c r="X994" s="413"/>
      <c r="Y994" s="413"/>
      <c r="Z994" s="413"/>
    </row>
    <row r="995" ht="12.0" customHeight="1">
      <c r="A995" s="413"/>
      <c r="B995" s="413"/>
      <c r="C995" s="414"/>
      <c r="D995" s="413"/>
      <c r="E995" s="413"/>
      <c r="F995" s="413"/>
      <c r="G995" s="413"/>
      <c r="H995" s="413"/>
      <c r="I995" s="413"/>
      <c r="J995" s="413"/>
      <c r="K995" s="413"/>
      <c r="L995" s="413"/>
      <c r="M995" s="413"/>
      <c r="N995" s="413"/>
      <c r="O995" s="413"/>
      <c r="P995" s="413"/>
      <c r="Q995" s="413"/>
      <c r="R995" s="413"/>
      <c r="S995" s="413"/>
      <c r="T995" s="413"/>
      <c r="U995" s="413"/>
      <c r="V995" s="413"/>
      <c r="W995" s="413"/>
      <c r="X995" s="413"/>
      <c r="Y995" s="413"/>
      <c r="Z995" s="413"/>
    </row>
    <row r="996" ht="12.0" customHeight="1">
      <c r="A996" s="413"/>
      <c r="B996" s="413"/>
      <c r="C996" s="414"/>
      <c r="D996" s="413"/>
      <c r="E996" s="413"/>
      <c r="F996" s="413"/>
      <c r="G996" s="413"/>
      <c r="H996" s="413"/>
      <c r="I996" s="413"/>
      <c r="J996" s="413"/>
      <c r="K996" s="413"/>
      <c r="L996" s="413"/>
      <c r="M996" s="413"/>
      <c r="N996" s="413"/>
      <c r="O996" s="413"/>
      <c r="P996" s="413"/>
      <c r="Q996" s="413"/>
      <c r="R996" s="413"/>
      <c r="S996" s="413"/>
      <c r="T996" s="413"/>
      <c r="U996" s="413"/>
      <c r="V996" s="413"/>
      <c r="W996" s="413"/>
      <c r="X996" s="413"/>
      <c r="Y996" s="413"/>
      <c r="Z996" s="413"/>
    </row>
    <row r="997" ht="12.0" customHeight="1">
      <c r="A997" s="413"/>
      <c r="B997" s="413"/>
      <c r="C997" s="414"/>
      <c r="D997" s="413"/>
      <c r="E997" s="413"/>
      <c r="F997" s="413"/>
      <c r="G997" s="413"/>
      <c r="H997" s="413"/>
      <c r="I997" s="413"/>
      <c r="J997" s="413"/>
      <c r="K997" s="413"/>
      <c r="L997" s="413"/>
      <c r="M997" s="413"/>
      <c r="N997" s="413"/>
      <c r="O997" s="413"/>
      <c r="P997" s="413"/>
      <c r="Q997" s="413"/>
      <c r="R997" s="413"/>
      <c r="S997" s="413"/>
      <c r="T997" s="413"/>
      <c r="U997" s="413"/>
      <c r="V997" s="413"/>
      <c r="W997" s="413"/>
      <c r="X997" s="413"/>
      <c r="Y997" s="413"/>
      <c r="Z997" s="413"/>
    </row>
    <row r="998" ht="12.0" customHeight="1">
      <c r="A998" s="413"/>
      <c r="B998" s="413"/>
      <c r="C998" s="414"/>
      <c r="D998" s="413"/>
      <c r="E998" s="413"/>
      <c r="F998" s="413"/>
      <c r="G998" s="413"/>
      <c r="H998" s="413"/>
      <c r="I998" s="413"/>
      <c r="J998" s="413"/>
      <c r="K998" s="413"/>
      <c r="L998" s="413"/>
      <c r="M998" s="413"/>
      <c r="N998" s="413"/>
      <c r="O998" s="413"/>
      <c r="P998" s="413"/>
      <c r="Q998" s="413"/>
      <c r="R998" s="413"/>
      <c r="S998" s="413"/>
      <c r="T998" s="413"/>
      <c r="U998" s="413"/>
      <c r="V998" s="413"/>
      <c r="W998" s="413"/>
      <c r="X998" s="413"/>
      <c r="Y998" s="413"/>
      <c r="Z998" s="413"/>
    </row>
    <row r="999" ht="12.0" customHeight="1">
      <c r="A999" s="413"/>
      <c r="B999" s="413"/>
      <c r="C999" s="414"/>
      <c r="D999" s="413"/>
      <c r="E999" s="413"/>
      <c r="F999" s="413"/>
      <c r="G999" s="413"/>
      <c r="H999" s="413"/>
      <c r="I999" s="413"/>
      <c r="J999" s="413"/>
      <c r="K999" s="413"/>
      <c r="L999" s="413"/>
      <c r="M999" s="413"/>
      <c r="N999" s="413"/>
      <c r="O999" s="413"/>
      <c r="P999" s="413"/>
      <c r="Q999" s="413"/>
      <c r="R999" s="413"/>
      <c r="S999" s="413"/>
      <c r="T999" s="413"/>
      <c r="U999" s="413"/>
      <c r="V999" s="413"/>
      <c r="W999" s="413"/>
      <c r="X999" s="413"/>
      <c r="Y999" s="413"/>
      <c r="Z999" s="413"/>
    </row>
    <row r="1000" ht="12.0" customHeight="1">
      <c r="A1000" s="413"/>
      <c r="B1000" s="413"/>
      <c r="C1000" s="414"/>
      <c r="D1000" s="413"/>
      <c r="E1000" s="413"/>
      <c r="F1000" s="413"/>
      <c r="G1000" s="413"/>
      <c r="H1000" s="413"/>
      <c r="I1000" s="413"/>
      <c r="J1000" s="413"/>
      <c r="K1000" s="413"/>
      <c r="L1000" s="413"/>
      <c r="M1000" s="413"/>
      <c r="N1000" s="413"/>
      <c r="O1000" s="413"/>
      <c r="P1000" s="413"/>
      <c r="Q1000" s="413"/>
      <c r="R1000" s="413"/>
      <c r="S1000" s="413"/>
      <c r="T1000" s="413"/>
      <c r="U1000" s="413"/>
      <c r="V1000" s="413"/>
      <c r="W1000" s="413"/>
      <c r="X1000" s="413"/>
      <c r="Y1000" s="413"/>
      <c r="Z1000" s="41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67.43"/>
    <col customWidth="1" min="3" max="4" width="17.14"/>
    <col customWidth="1" min="5" max="6" width="12.29"/>
    <col customWidth="1" min="7" max="9" width="9.14"/>
    <col customWidth="1" min="10" max="11" width="12.29"/>
    <col customWidth="1" min="12" max="14" width="9.14"/>
    <col customWidth="1" min="15" max="15" width="10.57"/>
    <col customWidth="1" min="16" max="16" width="9.14"/>
    <col customWidth="1" min="17" max="26" width="8.0"/>
  </cols>
  <sheetData>
    <row r="1" ht="12.0" customHeight="1">
      <c r="A1" s="339" t="s">
        <v>1413</v>
      </c>
      <c r="B1" s="340"/>
      <c r="C1" s="340"/>
      <c r="D1" s="342"/>
      <c r="E1" s="328"/>
      <c r="F1" s="328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ht="12.0" customHeight="1">
      <c r="A2" s="354"/>
      <c r="B2" s="356"/>
      <c r="C2" s="356"/>
      <c r="D2" s="358"/>
      <c r="E2" s="328"/>
      <c r="F2" s="328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ht="12.0" customHeight="1">
      <c r="A3" s="329" t="s">
        <v>1386</v>
      </c>
      <c r="B3" s="330" t="s">
        <v>1387</v>
      </c>
      <c r="C3" s="332"/>
      <c r="D3" s="332">
        <f>1200.5+1852.2+2006.55+1776.74+1835.05</f>
        <v>8671.04</v>
      </c>
      <c r="E3" s="359"/>
      <c r="F3" s="359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</row>
    <row r="4" ht="12.0" customHeight="1">
      <c r="A4" s="329" t="s">
        <v>1386</v>
      </c>
      <c r="B4" s="330" t="s">
        <v>48</v>
      </c>
      <c r="C4" s="332"/>
      <c r="D4" s="332">
        <f>1050.73+846.68+1097.1+809.58+723.45+367.03+723.47+948.7+1030.25</f>
        <v>7596.99</v>
      </c>
      <c r="E4" s="359"/>
      <c r="F4" s="359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</row>
    <row r="5" ht="12.0" customHeight="1">
      <c r="A5" s="327"/>
      <c r="B5" s="327"/>
      <c r="C5" s="328">
        <f t="shared" ref="C5:D5" si="1">SUM(C3:C4)</f>
        <v>0</v>
      </c>
      <c r="D5" s="328">
        <f t="shared" si="1"/>
        <v>16268.03</v>
      </c>
      <c r="E5" s="328"/>
      <c r="F5" s="328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</row>
    <row r="6" ht="12.0" customHeight="1">
      <c r="A6" s="327"/>
      <c r="B6" s="335" t="s">
        <v>1391</v>
      </c>
      <c r="C6" s="337">
        <f t="shared" ref="C6:D6" si="2">C5+(C5*10/100)</f>
        <v>0</v>
      </c>
      <c r="D6" s="337">
        <f t="shared" si="2"/>
        <v>17894.833</v>
      </c>
      <c r="E6" s="328"/>
      <c r="F6" s="328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</row>
    <row r="7" ht="12.0" customHeight="1">
      <c r="A7" s="327"/>
      <c r="B7" s="327"/>
      <c r="C7" s="328"/>
      <c r="D7" s="328"/>
      <c r="E7" s="328"/>
      <c r="F7" s="328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</row>
    <row r="8" ht="12.0" customHeight="1">
      <c r="A8" s="327"/>
      <c r="B8" s="327"/>
      <c r="C8" s="328"/>
      <c r="D8" s="361">
        <v>2016.0</v>
      </c>
      <c r="E8" s="328"/>
      <c r="F8" s="328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</row>
    <row r="9" ht="12.0" customHeight="1">
      <c r="A9" s="329" t="s">
        <v>1393</v>
      </c>
      <c r="B9" s="330" t="s">
        <v>1394</v>
      </c>
      <c r="C9" s="332"/>
      <c r="D9" s="332"/>
      <c r="E9" s="359"/>
      <c r="F9" s="359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</row>
    <row r="10" ht="12.0" customHeight="1">
      <c r="A10" s="329" t="s">
        <v>1393</v>
      </c>
      <c r="B10" s="330" t="s">
        <v>1395</v>
      </c>
      <c r="C10" s="332"/>
      <c r="D10" s="332"/>
      <c r="E10" s="359"/>
      <c r="F10" s="359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</row>
    <row r="11" ht="12.0" customHeight="1">
      <c r="A11" s="329" t="s">
        <v>1393</v>
      </c>
      <c r="B11" s="330" t="s">
        <v>1153</v>
      </c>
      <c r="C11" s="332">
        <f>202.4</f>
        <v>202.4</v>
      </c>
      <c r="D11" s="332"/>
      <c r="E11" s="359"/>
      <c r="F11" s="359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</row>
    <row r="12" ht="12.0" customHeight="1">
      <c r="A12" s="329" t="s">
        <v>1393</v>
      </c>
      <c r="B12" s="330" t="s">
        <v>1397</v>
      </c>
      <c r="C12" s="332"/>
      <c r="D12" s="332">
        <f>478.8+383.04+478.8</f>
        <v>1340.64</v>
      </c>
      <c r="E12" s="359"/>
      <c r="F12" s="359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</row>
    <row r="13" ht="12.0" customHeight="1">
      <c r="A13" s="329" t="s">
        <v>1393</v>
      </c>
      <c r="B13" s="330" t="s">
        <v>1401</v>
      </c>
      <c r="C13" s="332"/>
      <c r="D13" s="332">
        <f>3093.41+3507.48+3690.82+2299.87+3738.96</f>
        <v>16330.54</v>
      </c>
      <c r="E13" s="359"/>
      <c r="F13" s="359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</row>
    <row r="14" ht="12.0" customHeight="1">
      <c r="A14" s="329" t="s">
        <v>1393</v>
      </c>
      <c r="B14" s="330" t="s">
        <v>1402</v>
      </c>
      <c r="C14" s="332"/>
      <c r="D14" s="332">
        <f>15353.97+36578</f>
        <v>51931.97</v>
      </c>
      <c r="E14" s="365"/>
      <c r="F14" s="365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ht="12.0" customHeight="1">
      <c r="A15" s="327"/>
      <c r="B15" s="327"/>
      <c r="C15" s="328">
        <f t="shared" ref="C15:D15" si="3">SUM(C9:C14)</f>
        <v>202.4</v>
      </c>
      <c r="D15" s="328">
        <f t="shared" si="3"/>
        <v>69603.15</v>
      </c>
      <c r="E15" s="359"/>
      <c r="F15" s="359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27"/>
      <c r="R15" s="327"/>
      <c r="S15" s="327"/>
      <c r="T15" s="327"/>
      <c r="U15" s="327"/>
      <c r="V15" s="327"/>
      <c r="W15" s="327"/>
      <c r="X15" s="327"/>
      <c r="Y15" s="327"/>
      <c r="Z15" s="327"/>
    </row>
    <row r="16" ht="12.0" customHeight="1">
      <c r="A16" s="327"/>
      <c r="B16" s="335" t="s">
        <v>1391</v>
      </c>
      <c r="C16" s="337">
        <f t="shared" ref="C16:D16" si="4">C15+(C15*10/100)</f>
        <v>222.64</v>
      </c>
      <c r="D16" s="337">
        <f t="shared" si="4"/>
        <v>76563.465</v>
      </c>
      <c r="E16" s="359"/>
      <c r="F16" s="359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27"/>
      <c r="R16" s="327"/>
      <c r="S16" s="327"/>
      <c r="T16" s="327"/>
      <c r="U16" s="327"/>
      <c r="V16" s="327"/>
      <c r="W16" s="327"/>
      <c r="X16" s="327"/>
      <c r="Y16" s="327"/>
      <c r="Z16" s="327"/>
    </row>
    <row r="17" ht="12.0" customHeight="1">
      <c r="A17" s="327"/>
      <c r="B17" s="327"/>
      <c r="C17" s="328"/>
      <c r="D17" s="328"/>
      <c r="E17" s="359"/>
      <c r="F17" s="359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27"/>
      <c r="R17" s="327"/>
      <c r="S17" s="327"/>
      <c r="T17" s="327"/>
      <c r="U17" s="327"/>
      <c r="V17" s="327"/>
      <c r="W17" s="327"/>
      <c r="X17" s="327"/>
      <c r="Y17" s="327"/>
      <c r="Z17" s="327"/>
    </row>
    <row r="18" ht="12.0" customHeight="1">
      <c r="A18" s="327"/>
      <c r="B18" s="327"/>
      <c r="C18" s="328"/>
      <c r="D18" s="328"/>
      <c r="E18" s="328"/>
      <c r="F18" s="328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</row>
    <row r="19" ht="12.0" customHeight="1">
      <c r="A19" s="329">
        <v>3009.0</v>
      </c>
      <c r="B19" s="330" t="s">
        <v>1410</v>
      </c>
      <c r="C19" s="332">
        <f>14.4+130+2505+12+1320+971+228+117.6</f>
        <v>5298</v>
      </c>
      <c r="D19" s="359"/>
      <c r="E19" s="328"/>
      <c r="F19" s="328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34"/>
      <c r="R19" s="334"/>
      <c r="S19" s="334"/>
      <c r="T19" s="334"/>
      <c r="U19" s="334"/>
      <c r="V19" s="334"/>
      <c r="W19" s="334"/>
      <c r="X19" s="334"/>
      <c r="Y19" s="334"/>
      <c r="Z19" s="334"/>
    </row>
    <row r="20" ht="12.0" customHeight="1">
      <c r="A20" s="329" t="s">
        <v>1411</v>
      </c>
      <c r="B20" s="330" t="s">
        <v>1474</v>
      </c>
      <c r="C20" s="332">
        <f>7149</f>
        <v>7149</v>
      </c>
      <c r="D20" s="359"/>
      <c r="E20" s="328"/>
      <c r="F20" s="328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34"/>
      <c r="R20" s="334"/>
      <c r="S20" s="334"/>
      <c r="T20" s="334"/>
      <c r="U20" s="334"/>
      <c r="V20" s="334"/>
      <c r="W20" s="334"/>
      <c r="X20" s="334"/>
      <c r="Y20" s="334"/>
      <c r="Z20" s="334"/>
    </row>
    <row r="21" ht="12.0" customHeight="1">
      <c r="A21" s="327"/>
      <c r="B21" s="327"/>
      <c r="C21" s="328">
        <f>SUM(C19:C20)</f>
        <v>12447</v>
      </c>
      <c r="D21" s="328"/>
      <c r="E21" s="328"/>
      <c r="F21" s="328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</row>
    <row r="22" ht="12.0" customHeight="1">
      <c r="A22" s="327"/>
      <c r="B22" s="335" t="s">
        <v>1391</v>
      </c>
      <c r="C22" s="337">
        <f>C21+(C21*10/100)</f>
        <v>13691.7</v>
      </c>
      <c r="D22" s="337"/>
      <c r="E22" s="328"/>
      <c r="F22" s="328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</row>
    <row r="23" ht="12.0" customHeight="1">
      <c r="A23" s="327"/>
      <c r="B23" s="335"/>
      <c r="C23" s="337"/>
      <c r="D23" s="337"/>
      <c r="E23" s="328"/>
      <c r="F23" s="328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</row>
    <row r="24" ht="12.0" customHeight="1">
      <c r="A24" s="329" t="s">
        <v>1478</v>
      </c>
      <c r="B24" s="330" t="s">
        <v>1479</v>
      </c>
      <c r="C24" s="332"/>
      <c r="D24" s="359"/>
      <c r="E24" s="328"/>
      <c r="F24" s="328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</row>
    <row r="25" ht="12.75" customHeight="1">
      <c r="A25" s="343" t="s">
        <v>1478</v>
      </c>
      <c r="B25" s="344" t="s">
        <v>1481</v>
      </c>
      <c r="C25" s="345"/>
      <c r="D25" s="347"/>
      <c r="E25" s="328"/>
      <c r="F25" s="328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ht="12.75" customHeight="1">
      <c r="A26" s="346"/>
      <c r="B26" s="186"/>
      <c r="C26" s="347">
        <f>SUM(C24:C25)</f>
        <v>0</v>
      </c>
      <c r="D26" s="347"/>
      <c r="E26" s="347"/>
      <c r="F26" s="347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ht="12.0" customHeight="1">
      <c r="A27" s="327"/>
      <c r="B27" s="335" t="s">
        <v>1391</v>
      </c>
      <c r="C27" s="337">
        <f>C26+(C26*10/100)</f>
        <v>0</v>
      </c>
      <c r="D27" s="337"/>
      <c r="E27" s="328"/>
      <c r="F27" s="328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</row>
    <row r="28" ht="12.0" customHeight="1">
      <c r="A28" s="327"/>
      <c r="B28" s="335"/>
      <c r="C28" s="337"/>
      <c r="D28" s="337"/>
      <c r="E28" s="328"/>
      <c r="F28" s="328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</row>
    <row r="29" ht="12.0" customHeight="1">
      <c r="A29" s="327"/>
      <c r="B29" s="327"/>
      <c r="C29" s="328"/>
      <c r="D29" s="328"/>
      <c r="E29" s="328"/>
      <c r="F29" s="328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</row>
    <row r="30" ht="12.75" customHeight="1">
      <c r="A30" s="343" t="s">
        <v>1416</v>
      </c>
      <c r="B30" s="344" t="s">
        <v>1420</v>
      </c>
      <c r="C30" s="345"/>
      <c r="D30" s="347"/>
      <c r="E30" s="347"/>
      <c r="F30" s="347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ht="12.75" customHeight="1">
      <c r="A31" s="346"/>
      <c r="B31" s="186"/>
      <c r="C31" s="347">
        <f>SUM(C30)</f>
        <v>0</v>
      </c>
      <c r="D31" s="347"/>
      <c r="E31" s="328"/>
      <c r="F31" s="328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</row>
    <row r="32" ht="12.75" customHeight="1">
      <c r="A32" s="346"/>
      <c r="B32" s="335" t="s">
        <v>1391</v>
      </c>
      <c r="C32" s="337">
        <f>C31+(C31*10/100)</f>
        <v>0</v>
      </c>
      <c r="D32" s="337"/>
      <c r="E32" s="328"/>
      <c r="F32" s="328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</row>
    <row r="33" ht="12.75" customHeight="1">
      <c r="A33" s="346"/>
      <c r="B33" s="186"/>
      <c r="C33" s="347"/>
      <c r="D33" s="347"/>
      <c r="E33" s="328"/>
      <c r="F33" s="328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</row>
    <row r="34" ht="12.75" customHeight="1">
      <c r="A34" s="343" t="s">
        <v>1421</v>
      </c>
      <c r="B34" s="344" t="s">
        <v>1422</v>
      </c>
      <c r="C34" s="345"/>
      <c r="D34" s="347"/>
      <c r="E34" s="359"/>
      <c r="F34" s="359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ht="12.75" customHeight="1">
      <c r="A35" s="346"/>
      <c r="B35" s="186"/>
      <c r="C35" s="347">
        <f>SUM(C34)</f>
        <v>0</v>
      </c>
      <c r="D35" s="347"/>
      <c r="E35" s="371"/>
      <c r="F35" s="371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</row>
    <row r="36" ht="12.75" customHeight="1">
      <c r="A36" s="346"/>
      <c r="B36" s="335" t="s">
        <v>1391</v>
      </c>
      <c r="C36" s="337">
        <f>C35+(C35*10/100)</f>
        <v>0</v>
      </c>
      <c r="D36" s="337"/>
      <c r="E36" s="359"/>
      <c r="F36" s="359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</row>
    <row r="37" ht="12.75" customHeight="1">
      <c r="A37" s="346"/>
      <c r="B37" s="186"/>
      <c r="C37" s="347"/>
      <c r="D37" s="347"/>
      <c r="E37" s="328"/>
      <c r="F37" s="328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</row>
    <row r="38" ht="12.0" customHeight="1">
      <c r="A38" s="327"/>
      <c r="B38" s="327"/>
      <c r="C38" s="328"/>
      <c r="D38" s="328"/>
      <c r="E38" s="328"/>
      <c r="F38" s="328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</row>
    <row r="39" ht="12.75" customHeight="1">
      <c r="A39" s="329" t="s">
        <v>1425</v>
      </c>
      <c r="B39" s="330" t="s">
        <v>1426</v>
      </c>
      <c r="C39" s="332"/>
      <c r="D39" s="359"/>
      <c r="E39" s="328"/>
      <c r="F39" s="328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</row>
    <row r="40" ht="12.75" customHeight="1">
      <c r="A40" s="367"/>
      <c r="B40" s="344" t="s">
        <v>1422</v>
      </c>
      <c r="C40" s="373"/>
      <c r="D40" s="374"/>
      <c r="E40" s="328"/>
      <c r="F40" s="328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</row>
    <row r="41" ht="12.75" customHeight="1">
      <c r="A41" s="346"/>
      <c r="B41" s="186"/>
      <c r="C41" s="347">
        <f>SUM(C39:C40)</f>
        <v>0</v>
      </c>
      <c r="D41" s="347"/>
      <c r="E41" s="347"/>
      <c r="F41" s="347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27"/>
      <c r="R41" s="327"/>
      <c r="S41" s="327"/>
      <c r="T41" s="327"/>
      <c r="U41" s="327"/>
      <c r="V41" s="327"/>
      <c r="W41" s="327"/>
      <c r="X41" s="327"/>
      <c r="Y41" s="327"/>
      <c r="Z41" s="327"/>
    </row>
    <row r="42" ht="12.75" customHeight="1">
      <c r="A42" s="327"/>
      <c r="B42" s="335" t="s">
        <v>1391</v>
      </c>
      <c r="C42" s="337">
        <f>C41+(C41*10/100)</f>
        <v>0</v>
      </c>
      <c r="D42" s="337"/>
      <c r="E42" s="347"/>
      <c r="F42" s="34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</row>
    <row r="43" ht="12.0" customHeight="1">
      <c r="A43" s="327"/>
      <c r="B43" s="327"/>
      <c r="C43" s="328"/>
      <c r="D43" s="328"/>
      <c r="E43" s="328"/>
      <c r="F43" s="328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</row>
    <row r="44" ht="12.0" customHeight="1">
      <c r="A44" s="327"/>
      <c r="B44" s="327"/>
      <c r="C44" s="328"/>
      <c r="D44" s="328"/>
      <c r="E44" s="328"/>
      <c r="F44" s="328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34"/>
      <c r="R44" s="334"/>
      <c r="S44" s="334"/>
      <c r="T44" s="334"/>
      <c r="U44" s="334"/>
      <c r="V44" s="334"/>
      <c r="W44" s="334"/>
      <c r="X44" s="334"/>
      <c r="Y44" s="334"/>
      <c r="Z44" s="334"/>
    </row>
    <row r="45" ht="12.0" customHeight="1">
      <c r="A45" s="329" t="s">
        <v>1434</v>
      </c>
      <c r="B45" s="330" t="s">
        <v>1435</v>
      </c>
      <c r="C45" s="332"/>
      <c r="D45" s="359"/>
      <c r="E45" s="328"/>
      <c r="F45" s="328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34"/>
      <c r="R45" s="334"/>
      <c r="S45" s="334"/>
      <c r="T45" s="334"/>
      <c r="U45" s="334"/>
      <c r="V45" s="334"/>
      <c r="W45" s="334"/>
      <c r="X45" s="334"/>
      <c r="Y45" s="334"/>
      <c r="Z45" s="334"/>
    </row>
    <row r="46" ht="12.75" customHeight="1">
      <c r="A46" s="329" t="s">
        <v>1434</v>
      </c>
      <c r="B46" s="330" t="s">
        <v>1436</v>
      </c>
      <c r="C46" s="332"/>
      <c r="D46" s="359"/>
      <c r="E46" s="328"/>
      <c r="F46" s="328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ht="12.75" customHeight="1">
      <c r="A47" s="343" t="s">
        <v>1434</v>
      </c>
      <c r="B47" s="330" t="s">
        <v>1437</v>
      </c>
      <c r="C47" s="345"/>
      <c r="D47" s="347"/>
      <c r="E47" s="347"/>
      <c r="F47" s="347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ht="12.75" customHeight="1">
      <c r="A48" s="343" t="s">
        <v>1434</v>
      </c>
      <c r="B48" s="344" t="s">
        <v>1438</v>
      </c>
      <c r="C48" s="345"/>
      <c r="D48" s="347"/>
      <c r="E48" s="328"/>
      <c r="F48" s="328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</row>
    <row r="49" ht="12.75" customHeight="1">
      <c r="A49" s="343" t="s">
        <v>1434</v>
      </c>
      <c r="B49" s="344" t="s">
        <v>1439</v>
      </c>
      <c r="C49" s="345"/>
      <c r="D49" s="347"/>
      <c r="E49" s="328"/>
      <c r="F49" s="328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</row>
    <row r="50" ht="12.0" customHeight="1">
      <c r="A50" s="327"/>
      <c r="B50" s="327"/>
      <c r="C50" s="328">
        <f>SUM(C45:C49)</f>
        <v>0</v>
      </c>
      <c r="D50" s="328"/>
      <c r="E50" s="328"/>
      <c r="F50" s="328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</row>
    <row r="51" ht="12.75" customHeight="1">
      <c r="A51" s="327"/>
      <c r="B51" s="335" t="s">
        <v>1391</v>
      </c>
      <c r="C51" s="337">
        <f>C50+(C50*10/100)</f>
        <v>0</v>
      </c>
      <c r="D51" s="337"/>
      <c r="E51" s="347"/>
      <c r="F51" s="34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</row>
    <row r="52" ht="12.75" customHeight="1">
      <c r="A52" s="327"/>
      <c r="B52" s="327"/>
      <c r="C52" s="328"/>
      <c r="D52" s="328"/>
      <c r="E52" s="347"/>
      <c r="F52" s="347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</row>
    <row r="53" ht="12.75" customHeight="1">
      <c r="A53" s="353" t="s">
        <v>1440</v>
      </c>
      <c r="B53" s="355" t="s">
        <v>1441</v>
      </c>
      <c r="C53" s="357"/>
      <c r="D53" s="365"/>
      <c r="E53" s="347"/>
      <c r="F53" s="34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</row>
    <row r="54" ht="12.75" customHeight="1">
      <c r="A54" s="328"/>
      <c r="B54" s="335" t="s">
        <v>1391</v>
      </c>
      <c r="C54" s="337">
        <f>C53+(C53*10/100)</f>
        <v>0</v>
      </c>
      <c r="D54" s="337"/>
      <c r="E54" s="347"/>
      <c r="F54" s="34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</row>
    <row r="55" ht="12.75" customHeight="1">
      <c r="A55" s="327"/>
      <c r="B55" s="327"/>
      <c r="C55" s="328"/>
      <c r="D55" s="328"/>
      <c r="E55" s="347"/>
      <c r="F55" s="34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</row>
    <row r="56" ht="12.75" customHeight="1">
      <c r="A56" s="327"/>
      <c r="B56" s="335"/>
      <c r="C56" s="337"/>
      <c r="D56" s="337"/>
      <c r="E56" s="347"/>
      <c r="F56" s="347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</row>
    <row r="57" ht="12.75" customHeight="1">
      <c r="A57" s="343" t="s">
        <v>1442</v>
      </c>
      <c r="B57" s="344" t="s">
        <v>1443</v>
      </c>
      <c r="C57" s="345"/>
      <c r="D57" s="347"/>
      <c r="E57" s="347"/>
      <c r="F57" s="347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</row>
    <row r="58" ht="12.75" customHeight="1">
      <c r="A58" s="343" t="s">
        <v>1442</v>
      </c>
      <c r="B58" s="344" t="s">
        <v>1444</v>
      </c>
      <c r="C58" s="345"/>
      <c r="D58" s="347"/>
      <c r="E58" s="328"/>
      <c r="F58" s="328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</row>
    <row r="59" ht="12.75" customHeight="1">
      <c r="A59" s="327"/>
      <c r="B59" s="335"/>
      <c r="C59" s="337">
        <f>SUM(C57:C58)</f>
        <v>0</v>
      </c>
      <c r="D59" s="337"/>
      <c r="E59" s="328"/>
      <c r="F59" s="328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</row>
    <row r="60" ht="12.75" customHeight="1">
      <c r="A60" s="327"/>
      <c r="B60" s="335" t="s">
        <v>1391</v>
      </c>
      <c r="C60" s="337">
        <f>C59+(C59*10/100)</f>
        <v>0</v>
      </c>
      <c r="D60" s="337"/>
      <c r="E60" s="328"/>
      <c r="F60" s="328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ht="12.75" customHeight="1">
      <c r="A61" s="327"/>
      <c r="B61" s="335"/>
      <c r="C61" s="337"/>
      <c r="D61" s="337"/>
      <c r="E61" s="359"/>
      <c r="F61" s="359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ht="12.75" customHeight="1">
      <c r="A62" s="327"/>
      <c r="B62" s="335"/>
      <c r="C62" s="337"/>
      <c r="D62" s="337"/>
      <c r="E62" s="359"/>
      <c r="F62" s="359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</row>
    <row r="63" ht="12.75" customHeight="1">
      <c r="A63" s="343" t="s">
        <v>1445</v>
      </c>
      <c r="B63" s="344" t="s">
        <v>1446</v>
      </c>
      <c r="C63" s="345"/>
      <c r="D63" s="347"/>
      <c r="E63" s="359"/>
      <c r="F63" s="359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ht="12.0" customHeight="1">
      <c r="A64" s="327"/>
      <c r="B64" s="335" t="s">
        <v>1391</v>
      </c>
      <c r="C64" s="337">
        <f>C63+(C63*10/100)</f>
        <v>0</v>
      </c>
      <c r="D64" s="337"/>
      <c r="E64" s="359"/>
      <c r="F64" s="359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ht="12.0" customHeight="1">
      <c r="A65" s="327"/>
      <c r="B65" s="335"/>
      <c r="C65" s="337"/>
      <c r="D65" s="337"/>
      <c r="E65" s="359"/>
      <c r="F65" s="359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34"/>
      <c r="R65" s="334"/>
      <c r="S65" s="334"/>
      <c r="T65" s="334"/>
      <c r="U65" s="334"/>
      <c r="V65" s="334"/>
      <c r="W65" s="334"/>
      <c r="X65" s="334"/>
      <c r="Y65" s="334"/>
      <c r="Z65" s="334"/>
    </row>
    <row r="66" ht="12.0" customHeight="1">
      <c r="A66" s="329" t="s">
        <v>1448</v>
      </c>
      <c r="B66" s="330" t="s">
        <v>1518</v>
      </c>
      <c r="C66" s="332">
        <f>3663.6</f>
        <v>3663.6</v>
      </c>
      <c r="D66" s="359"/>
      <c r="E66" s="328"/>
      <c r="F66" s="328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</row>
    <row r="67" ht="12.0" customHeight="1">
      <c r="A67" s="329" t="s">
        <v>1448</v>
      </c>
      <c r="B67" s="330" t="s">
        <v>1449</v>
      </c>
      <c r="C67" s="332"/>
      <c r="D67" s="359"/>
      <c r="E67" s="328"/>
      <c r="F67" s="328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ht="12.0" customHeight="1">
      <c r="A68" s="327"/>
      <c r="B68" s="327"/>
      <c r="C68" s="328">
        <f>SUM(C66:C67)</f>
        <v>3663.6</v>
      </c>
      <c r="D68" s="328"/>
      <c r="E68" s="328"/>
      <c r="F68" s="328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ht="12.0" customHeight="1">
      <c r="A69" s="327"/>
      <c r="B69" s="335" t="s">
        <v>1391</v>
      </c>
      <c r="C69" s="337">
        <f>C68+(C68*10/100)</f>
        <v>4029.96</v>
      </c>
      <c r="D69" s="337"/>
      <c r="E69" s="328"/>
      <c r="F69" s="328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ht="12.75" customHeight="1">
      <c r="A70" s="327"/>
      <c r="B70" s="327"/>
      <c r="C70" s="328"/>
      <c r="D70" s="361">
        <v>2016.0</v>
      </c>
      <c r="E70" s="347"/>
      <c r="F70" s="347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</row>
    <row r="71" ht="12.75" customHeight="1">
      <c r="A71" s="329" t="s">
        <v>1450</v>
      </c>
      <c r="B71" s="330" t="s">
        <v>575</v>
      </c>
      <c r="C71" s="332"/>
      <c r="D71" s="332">
        <f>10260+18980+333.4+37.5+740+1350+31976+730.7+42+3955+1588.45+154+127.08+283.74+281.4+169.35+63.54+381+312+5473+7466+873.45+3520+354.17+356+2648+171.75+292+2586.21+2450</f>
        <v>97955.74</v>
      </c>
      <c r="E71" s="347"/>
      <c r="F71" s="34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34"/>
      <c r="R71" s="334"/>
      <c r="S71" s="334"/>
      <c r="T71" s="334"/>
      <c r="U71" s="334"/>
      <c r="V71" s="334"/>
      <c r="W71" s="334"/>
      <c r="X71" s="334"/>
      <c r="Y71" s="334"/>
      <c r="Z71" s="334"/>
    </row>
    <row r="72" ht="12.0" customHeight="1">
      <c r="A72" s="329" t="s">
        <v>1450</v>
      </c>
      <c r="B72" s="330" t="s">
        <v>1451</v>
      </c>
      <c r="C72" s="332"/>
      <c r="D72" s="332">
        <f>4680.6+640+604.9+4493.1+583+4541.1+815.6</f>
        <v>16358.3</v>
      </c>
      <c r="E72" s="359"/>
      <c r="F72" s="359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34"/>
      <c r="R72" s="334"/>
      <c r="S72" s="334"/>
      <c r="T72" s="334"/>
      <c r="U72" s="334"/>
      <c r="V72" s="334"/>
      <c r="W72" s="334"/>
      <c r="X72" s="334"/>
      <c r="Y72" s="334"/>
      <c r="Z72" s="334"/>
    </row>
    <row r="73" ht="12.75" customHeight="1">
      <c r="A73" s="329">
        <v>3035.0</v>
      </c>
      <c r="B73" s="330" t="s">
        <v>1536</v>
      </c>
      <c r="C73" s="332"/>
      <c r="D73" s="345">
        <f>3024+2800</f>
        <v>5824</v>
      </c>
      <c r="E73" s="347"/>
      <c r="F73" s="34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34"/>
      <c r="R73" s="334"/>
      <c r="S73" s="334"/>
      <c r="T73" s="334"/>
      <c r="U73" s="334"/>
      <c r="V73" s="334"/>
      <c r="W73" s="334"/>
      <c r="X73" s="334"/>
      <c r="Y73" s="334"/>
      <c r="Z73" s="334"/>
    </row>
    <row r="74" ht="12.75" customHeight="1">
      <c r="A74" s="362" t="s">
        <v>1450</v>
      </c>
      <c r="B74" s="363" t="s">
        <v>1456</v>
      </c>
      <c r="C74" s="332"/>
      <c r="D74" s="332">
        <f>180.9+32446.9+418.5+933+13790.4</f>
        <v>47769.7</v>
      </c>
      <c r="E74" s="359"/>
      <c r="F74" s="359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75" ht="12.75" customHeight="1">
      <c r="A75" s="343" t="s">
        <v>1450</v>
      </c>
      <c r="B75" s="344" t="s">
        <v>1459</v>
      </c>
      <c r="C75" s="332"/>
      <c r="D75" s="332"/>
      <c r="E75" s="359"/>
      <c r="F75" s="359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</row>
    <row r="76" ht="12.0" customHeight="1">
      <c r="A76" s="327"/>
      <c r="B76" s="327"/>
      <c r="C76" s="328">
        <f t="shared" ref="C76:D76" si="5">SUM(C71:C75)</f>
        <v>0</v>
      </c>
      <c r="D76" s="328">
        <f t="shared" si="5"/>
        <v>167907.74</v>
      </c>
      <c r="E76" s="359"/>
      <c r="F76" s="359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27"/>
      <c r="R76" s="327"/>
      <c r="S76" s="327"/>
      <c r="T76" s="327"/>
      <c r="U76" s="327"/>
      <c r="V76" s="327"/>
      <c r="W76" s="327"/>
      <c r="X76" s="327"/>
      <c r="Y76" s="327"/>
      <c r="Z76" s="327"/>
    </row>
    <row r="77" ht="12.0" customHeight="1">
      <c r="A77" s="327"/>
      <c r="B77" s="335" t="s">
        <v>1391</v>
      </c>
      <c r="C77" s="337">
        <f t="shared" ref="C77:D77" si="6">C76+(C76*10/100)</f>
        <v>0</v>
      </c>
      <c r="D77" s="337">
        <f t="shared" si="6"/>
        <v>184698.514</v>
      </c>
      <c r="E77" s="328"/>
      <c r="F77" s="328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27"/>
      <c r="R77" s="327"/>
      <c r="S77" s="327"/>
      <c r="T77" s="327"/>
      <c r="U77" s="327"/>
      <c r="V77" s="327"/>
      <c r="W77" s="327"/>
      <c r="X77" s="327"/>
      <c r="Y77" s="327"/>
      <c r="Z77" s="327"/>
    </row>
    <row r="78" ht="12.0" customHeight="1">
      <c r="A78" s="327"/>
      <c r="B78" s="327"/>
      <c r="C78" s="328"/>
      <c r="D78" s="328"/>
      <c r="E78" s="328"/>
      <c r="F78" s="328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27"/>
      <c r="R78" s="327"/>
      <c r="S78" s="327"/>
      <c r="T78" s="327"/>
      <c r="U78" s="327"/>
      <c r="V78" s="327"/>
      <c r="W78" s="327"/>
      <c r="X78" s="327"/>
      <c r="Y78" s="327"/>
      <c r="Z78" s="327"/>
    </row>
    <row r="79" ht="12.0" customHeight="1">
      <c r="A79" s="327"/>
      <c r="B79" s="327"/>
      <c r="C79" s="328"/>
      <c r="D79" s="361">
        <v>2016.0</v>
      </c>
      <c r="E79" s="328"/>
      <c r="F79" s="328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</row>
    <row r="80" ht="12.0" customHeight="1">
      <c r="A80" s="329" t="s">
        <v>1463</v>
      </c>
      <c r="B80" s="330" t="s">
        <v>1464</v>
      </c>
      <c r="C80" s="332">
        <f>6500+8772+9916.6+6350+9928.4</f>
        <v>41467</v>
      </c>
      <c r="D80" s="389">
        <f>3798.29+60315.2+13112+1225.92+780+1729.44+4301.5</f>
        <v>85262.35</v>
      </c>
      <c r="E80" s="328"/>
      <c r="F80" s="328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</row>
    <row r="81" ht="12.75" customHeight="1">
      <c r="A81" s="329" t="s">
        <v>1463</v>
      </c>
      <c r="B81" s="330" t="s">
        <v>1469</v>
      </c>
      <c r="C81" s="332"/>
      <c r="D81" s="389"/>
      <c r="E81" s="347"/>
      <c r="F81" s="34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34"/>
      <c r="R81" s="334"/>
      <c r="S81" s="334"/>
      <c r="T81" s="334"/>
      <c r="U81" s="334"/>
      <c r="V81" s="334"/>
      <c r="W81" s="334"/>
      <c r="X81" s="334"/>
      <c r="Y81" s="334"/>
      <c r="Z81" s="334"/>
    </row>
    <row r="82" ht="12.75" customHeight="1">
      <c r="A82" s="329" t="s">
        <v>1463</v>
      </c>
      <c r="B82" s="330" t="s">
        <v>1545</v>
      </c>
      <c r="C82" s="332">
        <f>1920+2376</f>
        <v>4296</v>
      </c>
      <c r="D82" s="389"/>
      <c r="E82" s="347"/>
      <c r="F82" s="34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34"/>
      <c r="R82" s="334"/>
      <c r="S82" s="334"/>
      <c r="T82" s="334"/>
      <c r="U82" s="334"/>
      <c r="V82" s="334"/>
      <c r="W82" s="334"/>
      <c r="X82" s="334"/>
      <c r="Y82" s="334"/>
      <c r="Z82" s="334"/>
    </row>
    <row r="83" ht="12.75" customHeight="1">
      <c r="A83" s="329" t="s">
        <v>1463</v>
      </c>
      <c r="B83" s="330" t="s">
        <v>1546</v>
      </c>
      <c r="C83" s="332">
        <v>4657.0</v>
      </c>
      <c r="D83" s="389"/>
      <c r="E83" s="347"/>
      <c r="F83" s="34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34"/>
      <c r="R83" s="334"/>
      <c r="S83" s="334"/>
      <c r="T83" s="334"/>
      <c r="U83" s="334"/>
      <c r="V83" s="334"/>
      <c r="W83" s="334"/>
      <c r="X83" s="334"/>
      <c r="Y83" s="334"/>
      <c r="Z83" s="334"/>
    </row>
    <row r="84" ht="12.75" customHeight="1">
      <c r="A84" s="329">
        <v>3036.0</v>
      </c>
      <c r="B84" s="330" t="s">
        <v>1470</v>
      </c>
      <c r="C84" s="332"/>
      <c r="D84" s="389">
        <v>364.0</v>
      </c>
      <c r="E84" s="347"/>
      <c r="F84" s="34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34"/>
      <c r="R84" s="334"/>
      <c r="S84" s="334"/>
      <c r="T84" s="334"/>
      <c r="U84" s="334"/>
      <c r="V84" s="334"/>
      <c r="W84" s="334"/>
      <c r="X84" s="334"/>
      <c r="Y84" s="334"/>
      <c r="Z84" s="334"/>
    </row>
    <row r="85" ht="12.75" customHeight="1">
      <c r="A85" s="362">
        <v>3036.0</v>
      </c>
      <c r="B85" s="367" t="s">
        <v>1471</v>
      </c>
      <c r="C85" s="364"/>
      <c r="D85" s="389"/>
      <c r="E85" s="347"/>
      <c r="F85" s="34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34"/>
      <c r="R85" s="334"/>
      <c r="S85" s="334"/>
      <c r="T85" s="334"/>
      <c r="U85" s="334"/>
      <c r="V85" s="334"/>
      <c r="W85" s="334"/>
      <c r="X85" s="334"/>
      <c r="Y85" s="334"/>
      <c r="Z85" s="334"/>
    </row>
    <row r="86" ht="12.75" customHeight="1">
      <c r="A86" s="329" t="s">
        <v>1463</v>
      </c>
      <c r="B86" s="330" t="s">
        <v>1475</v>
      </c>
      <c r="C86" s="332"/>
      <c r="D86" s="389"/>
      <c r="E86" s="347"/>
      <c r="F86" s="34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34"/>
      <c r="R86" s="334"/>
      <c r="S86" s="334"/>
      <c r="T86" s="334"/>
      <c r="U86" s="334"/>
      <c r="V86" s="334"/>
      <c r="W86" s="334"/>
      <c r="X86" s="334"/>
      <c r="Y86" s="334"/>
      <c r="Z86" s="334"/>
    </row>
    <row r="87" ht="12.75" customHeight="1">
      <c r="A87" s="329" t="s">
        <v>1463</v>
      </c>
      <c r="B87" s="330" t="s">
        <v>1476</v>
      </c>
      <c r="C87" s="332"/>
      <c r="D87" s="389"/>
      <c r="E87" s="347"/>
      <c r="F87" s="347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</row>
    <row r="88" ht="12.75" customHeight="1">
      <c r="A88" s="368" t="s">
        <v>1463</v>
      </c>
      <c r="B88" s="369" t="s">
        <v>1480</v>
      </c>
      <c r="C88" s="370">
        <v>198.9</v>
      </c>
      <c r="D88" s="389">
        <v>1909.0</v>
      </c>
      <c r="E88" s="347"/>
      <c r="F88" s="347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</row>
    <row r="89" ht="12.75" customHeight="1">
      <c r="A89" s="343" t="s">
        <v>1463</v>
      </c>
      <c r="B89" s="344" t="s">
        <v>1483</v>
      </c>
      <c r="C89" s="345"/>
      <c r="D89" s="389"/>
      <c r="E89" s="347"/>
      <c r="F89" s="347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</row>
    <row r="90" ht="12.75" customHeight="1">
      <c r="A90" s="343" t="s">
        <v>1463</v>
      </c>
      <c r="B90" s="372" t="s">
        <v>1484</v>
      </c>
      <c r="C90" s="345"/>
      <c r="D90" s="389"/>
      <c r="E90" s="347"/>
      <c r="F90" s="347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</row>
    <row r="91" ht="12.75" customHeight="1">
      <c r="A91" s="343" t="s">
        <v>1463</v>
      </c>
      <c r="B91" s="372" t="s">
        <v>1488</v>
      </c>
      <c r="C91" s="344"/>
      <c r="D91" s="345">
        <f>747.5+2108.65+220+7638+5557.5</f>
        <v>16271.65</v>
      </c>
      <c r="E91" s="347"/>
      <c r="F91" s="347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</row>
    <row r="92" ht="12.75" customHeight="1">
      <c r="A92" s="343" t="s">
        <v>1463</v>
      </c>
      <c r="B92" s="372" t="s">
        <v>1490</v>
      </c>
      <c r="C92" s="344"/>
      <c r="D92" s="345">
        <v>118231.3</v>
      </c>
      <c r="E92" s="359"/>
      <c r="F92" s="359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</row>
    <row r="93" ht="12.75" customHeight="1">
      <c r="A93" s="343" t="s">
        <v>1463</v>
      </c>
      <c r="B93" s="372" t="s">
        <v>1569</v>
      </c>
      <c r="C93" s="344"/>
      <c r="D93" s="345">
        <v>925.0</v>
      </c>
      <c r="E93" s="359"/>
      <c r="F93" s="359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</row>
    <row r="94" ht="12.75" customHeight="1">
      <c r="A94" s="343" t="s">
        <v>1463</v>
      </c>
      <c r="B94" s="372" t="s">
        <v>1493</v>
      </c>
      <c r="C94" s="345"/>
      <c r="D94" s="389"/>
      <c r="E94" s="359"/>
      <c r="F94" s="359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</row>
    <row r="95" ht="12.75" customHeight="1">
      <c r="A95" s="343" t="s">
        <v>1463</v>
      </c>
      <c r="B95" s="372" t="s">
        <v>1574</v>
      </c>
      <c r="C95" s="345"/>
      <c r="D95" s="389">
        <f>3138.86+2658.66+5989.13+10051.75</f>
        <v>21838.4</v>
      </c>
      <c r="E95" s="359"/>
      <c r="F95" s="359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</row>
    <row r="96" ht="12.75" customHeight="1">
      <c r="A96" s="343" t="s">
        <v>1463</v>
      </c>
      <c r="B96" s="372" t="s">
        <v>1578</v>
      </c>
      <c r="C96" s="345"/>
      <c r="D96" s="389">
        <f>1500+930</f>
        <v>2430</v>
      </c>
      <c r="E96" s="359"/>
      <c r="F96" s="359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</row>
    <row r="97" ht="12.75" customHeight="1">
      <c r="A97" s="343" t="s">
        <v>1463</v>
      </c>
      <c r="B97" s="372" t="s">
        <v>1582</v>
      </c>
      <c r="C97" s="345">
        <v>39800.0</v>
      </c>
      <c r="D97" s="389"/>
      <c r="E97" s="359"/>
      <c r="F97" s="359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</row>
    <row r="98" ht="12.75" customHeight="1">
      <c r="A98" s="346"/>
      <c r="B98" s="186"/>
      <c r="C98" s="347">
        <f t="shared" ref="C98:D98" si="7">SUM(C80:C97)</f>
        <v>90418.9</v>
      </c>
      <c r="D98" s="347">
        <f t="shared" si="7"/>
        <v>247231.7</v>
      </c>
      <c r="E98" s="359"/>
      <c r="F98" s="359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</row>
    <row r="99" ht="12.75" customHeight="1">
      <c r="A99" s="346"/>
      <c r="B99" s="335" t="s">
        <v>1391</v>
      </c>
      <c r="C99" s="337">
        <f t="shared" ref="C99:D99" si="8">C98+(C98*10/100)</f>
        <v>99460.79</v>
      </c>
      <c r="D99" s="337">
        <f t="shared" si="8"/>
        <v>271954.87</v>
      </c>
      <c r="E99" s="359"/>
      <c r="F99" s="359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</row>
    <row r="100" ht="12.75" customHeight="1">
      <c r="A100" s="346"/>
      <c r="B100" s="335"/>
      <c r="C100" s="337"/>
      <c r="D100" s="337"/>
      <c r="E100" s="359"/>
      <c r="F100" s="359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</row>
    <row r="101" ht="12.75" customHeight="1">
      <c r="A101" s="346"/>
      <c r="B101" s="335"/>
      <c r="C101" s="337"/>
      <c r="D101" s="361"/>
      <c r="E101" s="328"/>
      <c r="F101" s="328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</row>
    <row r="102" ht="12.0" customHeight="1">
      <c r="A102" s="329" t="s">
        <v>1585</v>
      </c>
      <c r="B102" s="330" t="s">
        <v>1586</v>
      </c>
      <c r="C102" s="332">
        <f>11516.22+1709.94+13787.73</f>
        <v>27013.89</v>
      </c>
      <c r="D102" s="389"/>
      <c r="E102" s="328"/>
      <c r="F102" s="328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</row>
    <row r="103" ht="12.0" customHeight="1">
      <c r="A103" s="327"/>
      <c r="B103" s="335" t="s">
        <v>1391</v>
      </c>
      <c r="C103" s="337">
        <f t="shared" ref="C103:D103" si="9">C102+(C102*10/100)</f>
        <v>29715.279</v>
      </c>
      <c r="D103" s="337">
        <f t="shared" si="9"/>
        <v>0</v>
      </c>
      <c r="E103" s="328"/>
      <c r="F103" s="328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</row>
    <row r="104" ht="12.75" customHeight="1">
      <c r="A104" s="346"/>
      <c r="B104" s="335"/>
      <c r="C104" s="337"/>
      <c r="D104" s="337"/>
      <c r="E104" s="359"/>
      <c r="F104" s="359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</row>
    <row r="105" ht="12.75" customHeight="1">
      <c r="A105" s="346"/>
      <c r="B105" s="335"/>
      <c r="C105" s="337"/>
      <c r="D105" s="361">
        <v>2016.0</v>
      </c>
      <c r="E105" s="328"/>
      <c r="F105" s="328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</row>
    <row r="106" ht="12.0" customHeight="1">
      <c r="A106" s="329" t="s">
        <v>1494</v>
      </c>
      <c r="B106" s="330" t="s">
        <v>1495</v>
      </c>
      <c r="C106" s="332">
        <f>75382.41+289705.62</f>
        <v>365088.03</v>
      </c>
      <c r="D106" s="389">
        <v>214323.21</v>
      </c>
      <c r="E106" s="328"/>
      <c r="F106" s="328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</row>
    <row r="107" ht="12.0" customHeight="1">
      <c r="A107" s="327"/>
      <c r="B107" s="335" t="s">
        <v>1391</v>
      </c>
      <c r="C107" s="337">
        <f t="shared" ref="C107:D107" si="10">C106+(C106*10/100)</f>
        <v>401596.833</v>
      </c>
      <c r="D107" s="337">
        <f t="shared" si="10"/>
        <v>235755.531</v>
      </c>
      <c r="E107" s="328"/>
      <c r="F107" s="328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</row>
    <row r="108" ht="12.0" customHeight="1">
      <c r="A108" s="327"/>
      <c r="B108" s="335"/>
      <c r="C108" s="337"/>
      <c r="D108" s="337"/>
      <c r="E108" s="328"/>
      <c r="F108" s="328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</row>
    <row r="109" ht="12.75" customHeight="1">
      <c r="A109" s="346"/>
      <c r="B109" s="335"/>
      <c r="C109" s="337"/>
      <c r="D109" s="361">
        <v>2016.0</v>
      </c>
      <c r="E109" s="328"/>
      <c r="F109" s="328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</row>
    <row r="110" ht="12.0" customHeight="1">
      <c r="A110" s="329" t="s">
        <v>1496</v>
      </c>
      <c r="B110" s="330" t="s">
        <v>1497</v>
      </c>
      <c r="C110" s="332"/>
      <c r="D110" s="389">
        <f>1089+1089+1089+1089</f>
        <v>4356</v>
      </c>
      <c r="E110" s="359"/>
      <c r="F110" s="359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7"/>
      <c r="X110" s="327"/>
      <c r="Y110" s="327"/>
      <c r="Z110" s="327"/>
    </row>
    <row r="111" ht="12.0" customHeight="1">
      <c r="A111" s="328"/>
      <c r="B111" s="335" t="s">
        <v>1391</v>
      </c>
      <c r="C111" s="337">
        <f t="shared" ref="C111:D111" si="11">C110+(C110*10/100)</f>
        <v>0</v>
      </c>
      <c r="D111" s="337">
        <f t="shared" si="11"/>
        <v>4791.6</v>
      </c>
      <c r="E111" s="359"/>
      <c r="F111" s="359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</row>
    <row r="112" ht="12.0" customHeight="1">
      <c r="A112" s="328"/>
      <c r="B112" s="335"/>
      <c r="C112" s="337"/>
      <c r="D112" s="337"/>
      <c r="E112" s="328"/>
      <c r="F112" s="328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</row>
    <row r="113" ht="12.0" customHeight="1">
      <c r="A113" s="329" t="s">
        <v>1600</v>
      </c>
      <c r="B113" s="367" t="s">
        <v>1601</v>
      </c>
      <c r="C113" s="373"/>
      <c r="D113" s="374"/>
      <c r="E113" s="328"/>
      <c r="F113" s="328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</row>
    <row r="114" ht="12.0" customHeight="1">
      <c r="A114" s="329" t="s">
        <v>1600</v>
      </c>
      <c r="B114" s="367" t="s">
        <v>1603</v>
      </c>
      <c r="C114" s="373">
        <f>2300</f>
        <v>2300</v>
      </c>
      <c r="D114" s="374"/>
      <c r="E114" s="328"/>
      <c r="F114" s="328"/>
      <c r="G114" s="327"/>
      <c r="H114" s="327"/>
      <c r="I114" s="327"/>
      <c r="J114" s="327"/>
      <c r="K114" s="327"/>
      <c r="L114" s="327"/>
      <c r="M114" s="327"/>
      <c r="N114" s="327"/>
      <c r="O114" s="327"/>
      <c r="P114" s="327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</row>
    <row r="115" ht="12.0" customHeight="1">
      <c r="A115" s="328"/>
      <c r="B115" s="327"/>
      <c r="C115" s="328">
        <f>SUM(C113:C114)</f>
        <v>2300</v>
      </c>
      <c r="D115" s="328"/>
      <c r="E115" s="328"/>
      <c r="F115" s="328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7"/>
      <c r="X115" s="327"/>
      <c r="Y115" s="327"/>
      <c r="Z115" s="327"/>
    </row>
    <row r="116" ht="12.0" customHeight="1">
      <c r="A116" s="328"/>
      <c r="B116" s="335" t="s">
        <v>1391</v>
      </c>
      <c r="C116" s="337">
        <f>C115+(C115*10/100)</f>
        <v>2530</v>
      </c>
      <c r="D116" s="337"/>
      <c r="E116" s="328"/>
      <c r="F116" s="328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</row>
    <row r="117" ht="12.0" customHeight="1">
      <c r="A117" s="328"/>
      <c r="B117" s="327"/>
      <c r="C117" s="328"/>
      <c r="D117" s="328"/>
      <c r="E117" s="401"/>
      <c r="F117" s="401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</row>
    <row r="118" ht="12.0" customHeight="1">
      <c r="A118" s="328"/>
      <c r="B118" s="327"/>
      <c r="C118" s="328"/>
      <c r="D118" s="328"/>
      <c r="E118" s="359"/>
      <c r="F118" s="359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</row>
    <row r="119" ht="12.0" customHeight="1">
      <c r="A119" s="328"/>
      <c r="B119" s="327"/>
      <c r="C119" s="328"/>
      <c r="D119" s="361">
        <v>2016.0</v>
      </c>
      <c r="E119" s="359"/>
      <c r="F119" s="359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</row>
    <row r="120" ht="12.0" customHeight="1">
      <c r="A120" s="329" t="s">
        <v>1506</v>
      </c>
      <c r="B120" s="330" t="s">
        <v>1609</v>
      </c>
      <c r="C120" s="332">
        <f>5811.98+5115.75+1406.37+1759.28+1729.21+818.45</f>
        <v>16641.04</v>
      </c>
      <c r="D120" s="389"/>
      <c r="E120" s="359"/>
      <c r="F120" s="359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</row>
    <row r="121" ht="12.0" customHeight="1">
      <c r="A121" s="329" t="s">
        <v>1506</v>
      </c>
      <c r="B121" s="330" t="s">
        <v>1610</v>
      </c>
      <c r="C121" s="405"/>
      <c r="D121" s="332">
        <f>2111.03+2111.03+2111.03</f>
        <v>6333.09</v>
      </c>
      <c r="E121" s="359"/>
      <c r="F121" s="359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</row>
    <row r="122" ht="12.0" customHeight="1">
      <c r="A122" s="328"/>
      <c r="B122" s="327"/>
      <c r="C122" s="328">
        <f t="shared" ref="C122:D122" si="12">SUM(C120:C121)</f>
        <v>16641.04</v>
      </c>
      <c r="D122" s="328">
        <f t="shared" si="12"/>
        <v>6333.09</v>
      </c>
      <c r="E122" s="359"/>
      <c r="F122" s="359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327"/>
    </row>
    <row r="123" ht="12.0" customHeight="1">
      <c r="A123" s="328"/>
      <c r="B123" s="335" t="s">
        <v>1391</v>
      </c>
      <c r="C123" s="337">
        <f t="shared" ref="C123:D123" si="13">C122+(C122*10/100)</f>
        <v>18305.144</v>
      </c>
      <c r="D123" s="337">
        <f t="shared" si="13"/>
        <v>6966.399</v>
      </c>
      <c r="E123" s="359"/>
      <c r="F123" s="359"/>
      <c r="G123" s="327"/>
      <c r="H123" s="327"/>
      <c r="I123" s="327"/>
      <c r="J123" s="327"/>
      <c r="K123" s="327"/>
      <c r="L123" s="327"/>
      <c r="M123" s="327"/>
      <c r="N123" s="327"/>
      <c r="O123" s="327"/>
      <c r="P123" s="327"/>
      <c r="Q123" s="327"/>
      <c r="R123" s="327"/>
      <c r="S123" s="327"/>
      <c r="T123" s="327"/>
      <c r="U123" s="327"/>
      <c r="V123" s="327"/>
      <c r="W123" s="327"/>
      <c r="X123" s="327"/>
      <c r="Y123" s="327"/>
      <c r="Z123" s="327"/>
    </row>
    <row r="124" ht="12.0" customHeight="1">
      <c r="A124" s="328"/>
      <c r="B124" s="335"/>
      <c r="C124" s="337"/>
      <c r="D124" s="361">
        <v>2016.0</v>
      </c>
      <c r="E124" s="361" t="s">
        <v>1614</v>
      </c>
      <c r="F124" s="359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7"/>
      <c r="X124" s="327"/>
      <c r="Y124" s="327"/>
      <c r="Z124" s="327"/>
    </row>
    <row r="125" ht="12.0" customHeight="1">
      <c r="A125" s="382" t="s">
        <v>4</v>
      </c>
      <c r="B125" s="383" t="s">
        <v>1516</v>
      </c>
      <c r="C125" s="384" t="s">
        <v>1517</v>
      </c>
      <c r="D125" s="389"/>
      <c r="E125" s="389"/>
      <c r="F125" s="359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</row>
    <row r="126" ht="12.0" customHeight="1">
      <c r="A126" s="329" t="s">
        <v>1521</v>
      </c>
      <c r="B126" s="330" t="s">
        <v>1522</v>
      </c>
      <c r="C126" s="332"/>
      <c r="D126" s="389"/>
      <c r="E126" s="389"/>
      <c r="F126" s="359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</row>
    <row r="127" ht="12.0" customHeight="1">
      <c r="A127" s="329" t="s">
        <v>1521</v>
      </c>
      <c r="B127" s="330" t="s">
        <v>900</v>
      </c>
      <c r="C127" s="332"/>
      <c r="D127" s="389">
        <f>2354+2354+2354+2354</f>
        <v>9416</v>
      </c>
      <c r="E127" s="389"/>
      <c r="F127" s="359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</row>
    <row r="128" ht="12.0" customHeight="1">
      <c r="A128" s="329" t="s">
        <v>1521</v>
      </c>
      <c r="B128" s="330" t="s">
        <v>1523</v>
      </c>
      <c r="C128" s="332">
        <f>7199.12+15314.16+15314.16</f>
        <v>37827.44</v>
      </c>
      <c r="D128" s="389">
        <v>8115.04</v>
      </c>
      <c r="E128" s="389"/>
      <c r="F128" s="359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</row>
    <row r="129" ht="12.0" customHeight="1">
      <c r="A129" s="329" t="s">
        <v>1521</v>
      </c>
      <c r="B129" s="330" t="s">
        <v>1526</v>
      </c>
      <c r="C129" s="332"/>
      <c r="D129" s="389"/>
      <c r="E129" s="389"/>
      <c r="F129" s="359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</row>
    <row r="130" ht="12.0" customHeight="1">
      <c r="A130" s="329" t="s">
        <v>1521</v>
      </c>
      <c r="B130" s="330" t="s">
        <v>1529</v>
      </c>
      <c r="C130" s="332"/>
      <c r="D130" s="389"/>
      <c r="E130" s="389"/>
      <c r="F130" s="359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</row>
    <row r="131" ht="12.0" customHeight="1">
      <c r="A131" s="329" t="s">
        <v>1521</v>
      </c>
      <c r="B131" s="386" t="s">
        <v>1530</v>
      </c>
      <c r="C131" s="332"/>
      <c r="D131" s="389"/>
      <c r="E131" s="389"/>
      <c r="F131" s="359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</row>
    <row r="132" ht="12.0" customHeight="1">
      <c r="A132" s="329" t="s">
        <v>1521</v>
      </c>
      <c r="B132" s="330" t="s">
        <v>928</v>
      </c>
      <c r="C132" s="332">
        <f>1313.33+1313.33</f>
        <v>2626.66</v>
      </c>
      <c r="D132" s="389"/>
      <c r="E132" s="389"/>
      <c r="F132" s="359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</row>
    <row r="133" ht="12.0" customHeight="1">
      <c r="A133" s="329" t="s">
        <v>1521</v>
      </c>
      <c r="B133" s="330" t="s">
        <v>934</v>
      </c>
      <c r="C133" s="332"/>
      <c r="D133" s="389"/>
      <c r="E133" s="389"/>
      <c r="F133" s="359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</row>
    <row r="134" ht="12.0" customHeight="1">
      <c r="A134" s="329" t="s">
        <v>1521</v>
      </c>
      <c r="B134" s="330" t="s">
        <v>1619</v>
      </c>
      <c r="C134" s="332">
        <f>23999.8+23999.8</f>
        <v>47999.6</v>
      </c>
      <c r="D134" s="389"/>
      <c r="E134" s="389"/>
      <c r="F134" s="359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</row>
    <row r="135" ht="12.0" customHeight="1">
      <c r="A135" s="329" t="s">
        <v>1521</v>
      </c>
      <c r="B135" s="330" t="s">
        <v>1621</v>
      </c>
      <c r="C135" s="332"/>
      <c r="D135" s="389">
        <f>2126.57+2707.91+2707.91</f>
        <v>7542.39</v>
      </c>
      <c r="E135" s="332">
        <f>2707.91+581.34</f>
        <v>3289.25</v>
      </c>
      <c r="F135" s="359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</row>
    <row r="136" ht="12.0" customHeight="1">
      <c r="A136" s="327"/>
      <c r="B136" s="327"/>
      <c r="C136" s="328">
        <f t="shared" ref="C136:E136" si="14">SUM(C126:C135)</f>
        <v>88453.7</v>
      </c>
      <c r="D136" s="328">
        <f t="shared" si="14"/>
        <v>25073.43</v>
      </c>
      <c r="E136" s="328">
        <f t="shared" si="14"/>
        <v>3289.25</v>
      </c>
      <c r="F136" s="359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</row>
    <row r="137" ht="12.0" customHeight="1">
      <c r="A137" s="327"/>
      <c r="B137" s="335" t="s">
        <v>1391</v>
      </c>
      <c r="C137" s="337">
        <f t="shared" ref="C137:E137" si="15">C136+(C136*10/100)</f>
        <v>97299.07</v>
      </c>
      <c r="D137" s="337">
        <f t="shared" si="15"/>
        <v>27580.773</v>
      </c>
      <c r="E137" s="337">
        <f t="shared" si="15"/>
        <v>3618.175</v>
      </c>
      <c r="F137" s="359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</row>
    <row r="138" ht="12.0" customHeight="1">
      <c r="A138" s="327"/>
      <c r="B138" s="335"/>
      <c r="C138" s="337"/>
      <c r="D138" s="337"/>
      <c r="E138" s="359"/>
      <c r="F138" s="359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7"/>
    </row>
    <row r="139" ht="12.0" customHeight="1">
      <c r="A139" s="328"/>
      <c r="B139" s="327"/>
      <c r="C139" s="328"/>
      <c r="D139" s="361">
        <v>2016.0</v>
      </c>
      <c r="E139" s="361">
        <v>2015.0</v>
      </c>
      <c r="F139" s="361">
        <v>2014.0</v>
      </c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</row>
    <row r="140" ht="12.0" customHeight="1">
      <c r="A140" s="329" t="s">
        <v>1537</v>
      </c>
      <c r="B140" s="388" t="s">
        <v>1538</v>
      </c>
      <c r="C140" s="389">
        <f>53382</f>
        <v>53382</v>
      </c>
      <c r="D140" s="389">
        <v>68709.0</v>
      </c>
      <c r="E140" s="389"/>
      <c r="F140" s="389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</row>
    <row r="141" ht="12.0" customHeight="1">
      <c r="A141" s="329" t="s">
        <v>1537</v>
      </c>
      <c r="B141" s="388" t="s">
        <v>1541</v>
      </c>
      <c r="C141" s="389"/>
      <c r="D141" s="389"/>
      <c r="E141" s="389">
        <f>15429.2+17845.8</f>
        <v>33275</v>
      </c>
      <c r="F141" s="389">
        <f>36540+2668.6</f>
        <v>39208.6</v>
      </c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27"/>
      <c r="R141" s="327"/>
      <c r="S141" s="327"/>
      <c r="T141" s="327"/>
      <c r="U141" s="327"/>
      <c r="V141" s="327"/>
      <c r="W141" s="327"/>
      <c r="X141" s="327"/>
      <c r="Y141" s="327"/>
      <c r="Z141" s="327"/>
    </row>
    <row r="142" ht="12.0" customHeight="1">
      <c r="A142" s="329" t="s">
        <v>1537</v>
      </c>
      <c r="B142" s="388" t="s">
        <v>1542</v>
      </c>
      <c r="C142" s="389"/>
      <c r="D142" s="389"/>
      <c r="E142" s="389"/>
      <c r="F142" s="389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</row>
    <row r="143" ht="12.0" customHeight="1">
      <c r="A143" s="329" t="s">
        <v>1537</v>
      </c>
      <c r="B143" s="394" t="s">
        <v>1543</v>
      </c>
      <c r="C143" s="389"/>
      <c r="D143" s="389"/>
      <c r="E143" s="389"/>
      <c r="F143" s="389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</row>
    <row r="144" ht="12.0" customHeight="1">
      <c r="A144" s="329" t="s">
        <v>1537</v>
      </c>
      <c r="B144" s="394" t="s">
        <v>1547</v>
      </c>
      <c r="C144" s="389"/>
      <c r="D144" s="389"/>
      <c r="E144" s="389"/>
      <c r="F144" s="389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</row>
    <row r="145" ht="12.0" customHeight="1">
      <c r="A145" s="329" t="s">
        <v>1537</v>
      </c>
      <c r="B145" s="394" t="s">
        <v>1548</v>
      </c>
      <c r="C145" s="389"/>
      <c r="D145" s="389"/>
      <c r="E145" s="389"/>
      <c r="F145" s="389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</row>
    <row r="146" ht="12.0" customHeight="1">
      <c r="A146" s="329" t="s">
        <v>1537</v>
      </c>
      <c r="B146" s="394" t="s">
        <v>1551</v>
      </c>
      <c r="C146" s="389"/>
      <c r="D146" s="389"/>
      <c r="E146" s="389"/>
      <c r="F146" s="389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</row>
    <row r="147" ht="12.0" customHeight="1">
      <c r="A147" s="329" t="s">
        <v>1537</v>
      </c>
      <c r="B147" s="394" t="s">
        <v>1554</v>
      </c>
      <c r="C147" s="389"/>
      <c r="D147" s="389">
        <f>2306.56+15368.92+15156.8</f>
        <v>32832.28</v>
      </c>
      <c r="E147" s="389"/>
      <c r="F147" s="389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</row>
    <row r="148" ht="12.0" customHeight="1">
      <c r="A148" s="329" t="s">
        <v>1537</v>
      </c>
      <c r="B148" s="394" t="s">
        <v>1555</v>
      </c>
      <c r="C148" s="389"/>
      <c r="D148" s="389"/>
      <c r="E148" s="389"/>
      <c r="F148" s="389">
        <f>23721.56+11705.4+11085.45</f>
        <v>46512.41</v>
      </c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</row>
    <row r="149" ht="12.0" customHeight="1">
      <c r="A149" s="329" t="s">
        <v>1537</v>
      </c>
      <c r="B149" s="394" t="s">
        <v>1557</v>
      </c>
      <c r="C149" s="389"/>
      <c r="D149" s="389"/>
      <c r="E149" s="389"/>
      <c r="F149" s="389">
        <f>2624+5653+13718</f>
        <v>21995</v>
      </c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</row>
    <row r="150" ht="12.0" customHeight="1">
      <c r="A150" s="329" t="s">
        <v>1537</v>
      </c>
      <c r="B150" s="394" t="s">
        <v>1558</v>
      </c>
      <c r="C150" s="389"/>
      <c r="D150" s="389"/>
      <c r="E150" s="389"/>
      <c r="F150" s="389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</row>
    <row r="151" ht="12.0" customHeight="1">
      <c r="A151" s="329" t="s">
        <v>1537</v>
      </c>
      <c r="B151" s="394" t="s">
        <v>1559</v>
      </c>
      <c r="C151" s="389">
        <f>11671+11169+14240</f>
        <v>37080</v>
      </c>
      <c r="D151" s="389"/>
      <c r="E151" s="389"/>
      <c r="F151" s="389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</row>
    <row r="152" ht="12.0" customHeight="1">
      <c r="A152" s="329" t="s">
        <v>1537</v>
      </c>
      <c r="B152" s="394" t="s">
        <v>1560</v>
      </c>
      <c r="C152" s="389"/>
      <c r="D152" s="389"/>
      <c r="E152" s="389"/>
      <c r="F152" s="389">
        <v>1894.4</v>
      </c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</row>
    <row r="153" ht="12.0" customHeight="1">
      <c r="A153" s="329" t="s">
        <v>1537</v>
      </c>
      <c r="B153" s="388" t="s">
        <v>1467</v>
      </c>
      <c r="C153" s="389">
        <f>163636.59+18970.83+381437.77+210120.74+342608.52+58358.03+36805.98</f>
        <v>1211938.46</v>
      </c>
      <c r="D153" s="389">
        <f>306839.26</f>
        <v>306839.26</v>
      </c>
      <c r="E153" s="389"/>
      <c r="F153" s="389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</row>
    <row r="154" ht="12.0" customHeight="1">
      <c r="A154" s="329" t="s">
        <v>1537</v>
      </c>
      <c r="B154" s="388" t="s">
        <v>1561</v>
      </c>
      <c r="C154" s="389">
        <f>39302.54+69563.2+65749.81+19163.18</f>
        <v>193778.73</v>
      </c>
      <c r="D154" s="389"/>
      <c r="E154" s="389"/>
      <c r="F154" s="389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</row>
    <row r="155" ht="12.0" customHeight="1">
      <c r="A155" s="329" t="s">
        <v>1537</v>
      </c>
      <c r="B155" s="388" t="s">
        <v>1562</v>
      </c>
      <c r="C155" s="389">
        <v>23073.78</v>
      </c>
      <c r="D155" s="389">
        <f>54834.01+61965.97+82313.64</f>
        <v>199113.62</v>
      </c>
      <c r="E155" s="389"/>
      <c r="F155" s="389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</row>
    <row r="156" ht="12.0" customHeight="1">
      <c r="A156" s="329" t="s">
        <v>1537</v>
      </c>
      <c r="B156" s="388" t="s">
        <v>1563</v>
      </c>
      <c r="C156" s="389">
        <f>2857.71+332+518</f>
        <v>3707.71</v>
      </c>
      <c r="D156" s="389"/>
      <c r="E156" s="389">
        <v>361.3</v>
      </c>
      <c r="F156" s="389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</row>
    <row r="157" ht="12.0" customHeight="1">
      <c r="A157" s="329" t="s">
        <v>1537</v>
      </c>
      <c r="B157" s="388" t="s">
        <v>1564</v>
      </c>
      <c r="C157" s="389">
        <f>1087.19+4964.13+12134.54</f>
        <v>18185.86</v>
      </c>
      <c r="D157" s="389"/>
      <c r="E157" s="389"/>
      <c r="F157" s="389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</row>
    <row r="158" ht="12.0" customHeight="1">
      <c r="A158" s="329" t="s">
        <v>1537</v>
      </c>
      <c r="B158" s="388" t="s">
        <v>1565</v>
      </c>
      <c r="C158" s="389">
        <f>11277.93+30579.91+22847.82</f>
        <v>64705.66</v>
      </c>
      <c r="D158" s="389">
        <v>30723.78</v>
      </c>
      <c r="E158" s="389"/>
      <c r="F158" s="389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34"/>
      <c r="W158" s="334"/>
      <c r="X158" s="334"/>
      <c r="Y158" s="334"/>
      <c r="Z158" s="334"/>
    </row>
    <row r="159" ht="12.0" customHeight="1">
      <c r="A159" s="419" t="s">
        <v>1537</v>
      </c>
      <c r="B159" s="394" t="s">
        <v>1567</v>
      </c>
      <c r="C159" s="389"/>
      <c r="D159" s="389"/>
      <c r="E159" s="389">
        <f>2215.2+5925.02</f>
        <v>8140.22</v>
      </c>
      <c r="F159" s="389">
        <f>3614.23+3176.58+1140.56</f>
        <v>7931.37</v>
      </c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</row>
    <row r="160" ht="12.0" customHeight="1">
      <c r="A160" s="329" t="s">
        <v>1537</v>
      </c>
      <c r="B160" s="394" t="s">
        <v>1568</v>
      </c>
      <c r="C160" s="389"/>
      <c r="D160" s="389"/>
      <c r="E160" s="389">
        <f>1407.41+3385.02+1409.42+2820.85</f>
        <v>9022.7</v>
      </c>
      <c r="F160" s="389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</row>
    <row r="161" ht="12.0" customHeight="1">
      <c r="A161" s="329" t="s">
        <v>1537</v>
      </c>
      <c r="B161" s="394" t="s">
        <v>1570</v>
      </c>
      <c r="C161" s="389"/>
      <c r="D161" s="389"/>
      <c r="E161" s="389">
        <f>12753.6+8131.16+3258.1+2144.08+5038.28</f>
        <v>31325.22</v>
      </c>
      <c r="F161" s="389">
        <f>10038.27+4383.38+5666.97</f>
        <v>20088.62</v>
      </c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</row>
    <row r="162" ht="12.0" customHeight="1">
      <c r="A162" s="329" t="s">
        <v>1537</v>
      </c>
      <c r="B162" s="394" t="s">
        <v>1575</v>
      </c>
      <c r="C162" s="389">
        <f>5570.25+7771.37</f>
        <v>13341.62</v>
      </c>
      <c r="D162" s="389">
        <f>9846.71+17147.9+1535.87+1574.4</f>
        <v>30104.88</v>
      </c>
      <c r="E162" s="389">
        <v>13108.88</v>
      </c>
      <c r="F162" s="389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</row>
    <row r="163" ht="12.0" customHeight="1">
      <c r="A163" s="329" t="s">
        <v>1537</v>
      </c>
      <c r="B163" s="394" t="s">
        <v>1579</v>
      </c>
      <c r="C163" s="389">
        <f>2350.78+4711.17+10345.56+9124.71+16238.53</f>
        <v>42770.75</v>
      </c>
      <c r="D163" s="389">
        <v>1726.43</v>
      </c>
      <c r="E163" s="389"/>
      <c r="F163" s="389">
        <v>2240.96</v>
      </c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</row>
    <row r="164" ht="12.0" customHeight="1">
      <c r="A164" s="329" t="s">
        <v>1537</v>
      </c>
      <c r="B164" s="394" t="s">
        <v>1583</v>
      </c>
      <c r="C164" s="389">
        <f>69890.38+72000</f>
        <v>141890.38</v>
      </c>
      <c r="D164" s="389">
        <f>29709.62+74400</f>
        <v>104109.62</v>
      </c>
      <c r="E164" s="389"/>
      <c r="F164" s="389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</row>
    <row r="165" ht="12.0" customHeight="1">
      <c r="A165" s="329" t="s">
        <v>1537</v>
      </c>
      <c r="B165" s="394" t="s">
        <v>1584</v>
      </c>
      <c r="C165" s="389">
        <f>59928+73870.16+2400+78353.03</f>
        <v>214551.19</v>
      </c>
      <c r="D165" s="389">
        <f>73231.2+67200+43121.8+14472</f>
        <v>198025</v>
      </c>
      <c r="E165" s="389"/>
      <c r="F165" s="389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</row>
    <row r="166" ht="12.0" customHeight="1">
      <c r="A166" s="329" t="s">
        <v>1537</v>
      </c>
      <c r="B166" s="394" t="s">
        <v>1593</v>
      </c>
      <c r="C166" s="389">
        <f>52308.13</f>
        <v>52308.13</v>
      </c>
      <c r="D166" s="389">
        <f>81378.72+26445.47</f>
        <v>107824.19</v>
      </c>
      <c r="E166" s="396"/>
      <c r="F166" s="396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</row>
    <row r="167" ht="12.0" customHeight="1">
      <c r="A167" s="329" t="s">
        <v>1537</v>
      </c>
      <c r="B167" s="394" t="s">
        <v>1594</v>
      </c>
      <c r="C167" s="389"/>
      <c r="D167" s="389"/>
      <c r="E167" s="396"/>
      <c r="F167" s="396">
        <f>9435.6+20998.7+26000.65+20972</f>
        <v>77406.95</v>
      </c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</row>
    <row r="168" ht="12.0" customHeight="1">
      <c r="A168" s="329" t="s">
        <v>1537</v>
      </c>
      <c r="B168" s="388" t="s">
        <v>1597</v>
      </c>
      <c r="C168" s="389">
        <f>113807.4+74183.19+213384.75+151600.13+81928.71</f>
        <v>634904.18</v>
      </c>
      <c r="D168" s="389">
        <f>95789.08+30910+224076.46</f>
        <v>350775.54</v>
      </c>
      <c r="E168" s="396"/>
      <c r="F168" s="396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</row>
    <row r="169" ht="12.0" customHeight="1">
      <c r="A169" s="329" t="s">
        <v>1537</v>
      </c>
      <c r="B169" s="388" t="s">
        <v>1602</v>
      </c>
      <c r="C169" s="389">
        <f>12698.27+107190.43+83169.76+157613.3+93500.15</f>
        <v>454171.91</v>
      </c>
      <c r="D169" s="389">
        <v>74345.69</v>
      </c>
      <c r="E169" s="389"/>
      <c r="F169" s="389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</row>
    <row r="170" ht="12.0" customHeight="1">
      <c r="A170" s="329" t="s">
        <v>1537</v>
      </c>
      <c r="B170" s="388" t="s">
        <v>705</v>
      </c>
      <c r="C170" s="389"/>
      <c r="D170" s="389">
        <f>40879.14+42182.79+29829.41</f>
        <v>112891.34</v>
      </c>
      <c r="E170" s="389"/>
      <c r="F170" s="389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</row>
    <row r="171" ht="12.0" customHeight="1">
      <c r="A171" s="329" t="s">
        <v>1537</v>
      </c>
      <c r="B171" s="388" t="s">
        <v>707</v>
      </c>
      <c r="C171" s="389"/>
      <c r="D171" s="389">
        <f>3528+5418+4872</f>
        <v>13818</v>
      </c>
      <c r="E171" s="389"/>
      <c r="F171" s="389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</row>
    <row r="172" ht="12.0" customHeight="1">
      <c r="A172" s="329" t="s">
        <v>1537</v>
      </c>
      <c r="B172" s="388" t="s">
        <v>1604</v>
      </c>
      <c r="C172" s="389"/>
      <c r="D172" s="389">
        <f>23194.7+21832.65+19403.65+14184.75</f>
        <v>78615.75</v>
      </c>
      <c r="E172" s="389"/>
      <c r="F172" s="389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</row>
    <row r="173" ht="12.0" customHeight="1">
      <c r="A173" s="329" t="s">
        <v>1537</v>
      </c>
      <c r="B173" s="388" t="s">
        <v>1605</v>
      </c>
      <c r="C173" s="389"/>
      <c r="D173" s="389"/>
      <c r="E173" s="389"/>
      <c r="F173" s="389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</row>
    <row r="174" ht="12.75" customHeight="1">
      <c r="A174" s="329" t="s">
        <v>1537</v>
      </c>
      <c r="B174" s="394" t="s">
        <v>1606</v>
      </c>
      <c r="C174" s="389">
        <f>94196.21+77947.87+126023.06</f>
        <v>298167.14</v>
      </c>
      <c r="D174" s="9"/>
      <c r="E174" s="389"/>
      <c r="F174" s="389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</row>
    <row r="175" ht="12.0" customHeight="1">
      <c r="A175" s="329" t="s">
        <v>1537</v>
      </c>
      <c r="B175" s="394" t="s">
        <v>950</v>
      </c>
      <c r="C175" s="389"/>
      <c r="D175" s="389">
        <v>3682.0</v>
      </c>
      <c r="E175" s="389"/>
      <c r="F175" s="389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</row>
    <row r="176" ht="12.0" customHeight="1">
      <c r="A176" s="329" t="s">
        <v>1537</v>
      </c>
      <c r="B176" s="394" t="s">
        <v>1607</v>
      </c>
      <c r="C176" s="389"/>
      <c r="D176" s="389">
        <f>9092.9+9244.75+8101.33</f>
        <v>26438.98</v>
      </c>
      <c r="E176" s="389"/>
      <c r="F176" s="389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</row>
    <row r="177" ht="12.0" customHeight="1">
      <c r="A177" s="329" t="s">
        <v>1537</v>
      </c>
      <c r="B177" s="394" t="s">
        <v>1608</v>
      </c>
      <c r="C177" s="389"/>
      <c r="D177" s="389"/>
      <c r="E177" s="389"/>
      <c r="F177" s="389">
        <f>28327.23+35972.44+32968</f>
        <v>97267.67</v>
      </c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</row>
    <row r="178" ht="12.0" customHeight="1">
      <c r="A178" s="327"/>
      <c r="B178" s="327"/>
      <c r="C178" s="328">
        <f t="shared" ref="C178:F178" si="16">SUM(C140:C177)</f>
        <v>3457957.5</v>
      </c>
      <c r="D178" s="328">
        <f t="shared" si="16"/>
        <v>1740575.36</v>
      </c>
      <c r="E178" s="328">
        <f t="shared" si="16"/>
        <v>95233.32</v>
      </c>
      <c r="F178" s="328">
        <f t="shared" si="16"/>
        <v>314545.98</v>
      </c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</row>
    <row r="179" ht="12.0" customHeight="1">
      <c r="A179" s="327"/>
      <c r="B179" s="335" t="s">
        <v>1391</v>
      </c>
      <c r="C179" s="337">
        <f t="shared" ref="C179:F179" si="17">C178+(C178*10/100)</f>
        <v>3803753.25</v>
      </c>
      <c r="D179" s="337">
        <f t="shared" si="17"/>
        <v>1914632.896</v>
      </c>
      <c r="E179" s="337">
        <f t="shared" si="17"/>
        <v>104756.652</v>
      </c>
      <c r="F179" s="337">
        <f t="shared" si="17"/>
        <v>346000.578</v>
      </c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</row>
    <row r="180" ht="12.0" customHeight="1">
      <c r="A180" s="327"/>
      <c r="B180" s="327"/>
      <c r="C180" s="328"/>
      <c r="D180" s="328"/>
      <c r="E180" s="359"/>
      <c r="F180" s="359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</row>
    <row r="181" ht="12.0" customHeight="1">
      <c r="A181" s="327"/>
      <c r="B181" s="327"/>
      <c r="C181" s="328"/>
      <c r="D181" s="328"/>
      <c r="E181" s="359"/>
      <c r="F181" s="359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</row>
    <row r="182" ht="12.0" customHeight="1">
      <c r="A182" s="329" t="s">
        <v>1611</v>
      </c>
      <c r="B182" s="330" t="s">
        <v>1612</v>
      </c>
      <c r="C182" s="332"/>
      <c r="D182" s="332">
        <f>148+148+148+148+148+148</f>
        <v>888</v>
      </c>
      <c r="E182" s="359"/>
      <c r="F182" s="359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</row>
    <row r="183" ht="12.0" customHeight="1">
      <c r="A183" s="327"/>
      <c r="B183" s="335" t="s">
        <v>1391</v>
      </c>
      <c r="C183" s="337">
        <f t="shared" ref="C183:D183" si="18">C182+(C182*10/100)</f>
        <v>0</v>
      </c>
      <c r="D183" s="337">
        <f t="shared" si="18"/>
        <v>976.8</v>
      </c>
      <c r="E183" s="328"/>
      <c r="F183" s="328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</row>
    <row r="184" ht="12.0" customHeight="1">
      <c r="A184" s="327"/>
      <c r="B184" s="335"/>
      <c r="C184" s="337"/>
      <c r="D184" s="337"/>
      <c r="E184" s="359"/>
      <c r="F184" s="359"/>
      <c r="G184" s="327"/>
      <c r="H184" s="327"/>
      <c r="I184" s="327"/>
      <c r="J184" s="327"/>
      <c r="K184" s="327"/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  <c r="Y184" s="327"/>
      <c r="Z184" s="327"/>
    </row>
    <row r="185" ht="12.0" customHeight="1">
      <c r="A185" s="327"/>
      <c r="B185" s="327"/>
      <c r="C185" s="328"/>
      <c r="D185" s="361">
        <v>2016.0</v>
      </c>
      <c r="E185" s="328"/>
      <c r="F185" s="328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27"/>
      <c r="R185" s="327"/>
      <c r="S185" s="327"/>
      <c r="T185" s="327"/>
      <c r="U185" s="327"/>
      <c r="V185" s="327"/>
      <c r="W185" s="327"/>
      <c r="X185" s="327"/>
      <c r="Y185" s="327"/>
      <c r="Z185" s="327"/>
    </row>
    <row r="186" ht="12.0" customHeight="1">
      <c r="A186" s="329" t="s">
        <v>1613</v>
      </c>
      <c r="B186" s="409" t="s">
        <v>941</v>
      </c>
      <c r="C186" s="332"/>
      <c r="D186" s="389">
        <f>1105.28+1105.28+1106.28</f>
        <v>3316.84</v>
      </c>
      <c r="E186" s="359"/>
      <c r="F186" s="359"/>
      <c r="G186" s="327"/>
      <c r="H186" s="327"/>
      <c r="I186" s="327"/>
      <c r="J186" s="327"/>
      <c r="K186" s="327"/>
      <c r="L186" s="327"/>
      <c r="M186" s="327"/>
      <c r="N186" s="327"/>
      <c r="O186" s="327"/>
      <c r="P186" s="327"/>
      <c r="Q186" s="327"/>
      <c r="R186" s="327"/>
      <c r="S186" s="327"/>
      <c r="T186" s="327"/>
      <c r="U186" s="327"/>
      <c r="V186" s="327"/>
      <c r="W186" s="327"/>
      <c r="X186" s="327"/>
      <c r="Y186" s="327"/>
      <c r="Z186" s="327"/>
    </row>
    <row r="187" ht="12.0" customHeight="1">
      <c r="A187" s="329" t="s">
        <v>1613</v>
      </c>
      <c r="B187" s="330" t="s">
        <v>1615</v>
      </c>
      <c r="C187" s="332"/>
      <c r="D187" s="389">
        <f>5700+5700+5700+5700</f>
        <v>22800</v>
      </c>
      <c r="E187" s="414"/>
      <c r="F187" s="41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</row>
    <row r="188" ht="12.0" customHeight="1">
      <c r="A188" s="327"/>
      <c r="B188" s="335"/>
      <c r="C188" s="337">
        <f t="shared" ref="C188:D188" si="19">SUM(C186:C187)</f>
        <v>0</v>
      </c>
      <c r="D188" s="337">
        <f t="shared" si="19"/>
        <v>26116.84</v>
      </c>
      <c r="E188" s="328"/>
      <c r="F188" s="328"/>
      <c r="G188" s="327"/>
      <c r="H188" s="327"/>
      <c r="I188" s="327"/>
      <c r="J188" s="327"/>
      <c r="K188" s="327"/>
      <c r="L188" s="327"/>
      <c r="M188" s="327"/>
      <c r="N188" s="327"/>
      <c r="O188" s="327"/>
      <c r="P188" s="327"/>
      <c r="Q188" s="327"/>
      <c r="R188" s="327"/>
      <c r="S188" s="327"/>
      <c r="T188" s="327"/>
      <c r="U188" s="327"/>
      <c r="V188" s="327"/>
      <c r="W188" s="327"/>
      <c r="X188" s="327"/>
      <c r="Y188" s="327"/>
      <c r="Z188" s="327"/>
    </row>
    <row r="189" ht="12.0" customHeight="1">
      <c r="A189" s="327"/>
      <c r="B189" s="335" t="s">
        <v>1391</v>
      </c>
      <c r="C189" s="337">
        <f t="shared" ref="C189:D189" si="20">C188+(C188*10/100)</f>
        <v>0</v>
      </c>
      <c r="D189" s="337">
        <f t="shared" si="20"/>
        <v>28728.524</v>
      </c>
      <c r="E189" s="328"/>
      <c r="F189" s="328"/>
      <c r="G189" s="327"/>
      <c r="H189" s="327"/>
      <c r="I189" s="327"/>
      <c r="J189" s="327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/>
      <c r="U189" s="327"/>
      <c r="V189" s="327"/>
      <c r="W189" s="327"/>
      <c r="X189" s="327"/>
      <c r="Y189" s="327"/>
      <c r="Z189" s="327"/>
    </row>
    <row r="190" ht="12.0" customHeight="1">
      <c r="A190" s="327"/>
      <c r="B190" s="327"/>
      <c r="C190" s="328"/>
      <c r="D190" s="328"/>
      <c r="E190" s="359"/>
      <c r="F190" s="359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</row>
    <row r="191" ht="12.0" customHeight="1">
      <c r="A191" s="327"/>
      <c r="B191" s="327"/>
      <c r="C191" s="328"/>
      <c r="D191" s="361">
        <v>2016.0</v>
      </c>
      <c r="E191" s="361" t="s">
        <v>1614</v>
      </c>
      <c r="F191" s="361" t="s">
        <v>1630</v>
      </c>
      <c r="G191" s="327"/>
      <c r="H191" s="327"/>
      <c r="I191" s="327"/>
      <c r="J191" s="327"/>
      <c r="K191" s="327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</row>
    <row r="192" ht="12.0" customHeight="1">
      <c r="A192" s="329" t="s">
        <v>1616</v>
      </c>
      <c r="B192" s="330" t="s">
        <v>1617</v>
      </c>
      <c r="C192" s="332"/>
      <c r="D192" s="389"/>
      <c r="E192" s="389"/>
      <c r="F192" s="389">
        <f>2541.88+2426.34+2599.65</f>
        <v>7567.87</v>
      </c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</row>
    <row r="193" ht="12.75" customHeight="1">
      <c r="A193" s="329" t="s">
        <v>1616</v>
      </c>
      <c r="B193" s="344" t="s">
        <v>919</v>
      </c>
      <c r="C193" s="345"/>
      <c r="D193" s="389">
        <v>850.0</v>
      </c>
      <c r="E193" s="389"/>
      <c r="F193" s="389"/>
      <c r="G193" s="327"/>
      <c r="H193" s="327"/>
      <c r="I193" s="327"/>
      <c r="J193" s="327"/>
      <c r="K193" s="327"/>
      <c r="L193" s="327"/>
      <c r="M193" s="327"/>
      <c r="N193" s="327"/>
      <c r="O193" s="327"/>
      <c r="P193" s="327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</row>
    <row r="194" ht="12.75" customHeight="1">
      <c r="A194" s="329" t="s">
        <v>1616</v>
      </c>
      <c r="B194" s="330" t="s">
        <v>1618</v>
      </c>
      <c r="C194" s="345">
        <f>1741.75+7259.9+8664.19</f>
        <v>17665.84</v>
      </c>
      <c r="D194" s="332">
        <f>6881.03+8310.15</f>
        <v>15191.18</v>
      </c>
      <c r="E194" s="332"/>
      <c r="F194" s="332"/>
      <c r="G194" s="327"/>
      <c r="H194" s="327"/>
      <c r="I194" s="327"/>
      <c r="J194" s="327"/>
      <c r="K194" s="327"/>
      <c r="L194" s="327"/>
      <c r="M194" s="327"/>
      <c r="N194" s="327"/>
      <c r="O194" s="327"/>
      <c r="P194" s="327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</row>
    <row r="195" ht="12.0" customHeight="1">
      <c r="A195" s="327"/>
      <c r="B195" s="327"/>
      <c r="C195" s="328">
        <f t="shared" ref="C195:F195" si="21">SUM(C192:C194)</f>
        <v>17665.84</v>
      </c>
      <c r="D195" s="328">
        <f t="shared" si="21"/>
        <v>16041.18</v>
      </c>
      <c r="E195" s="328">
        <f t="shared" si="21"/>
        <v>0</v>
      </c>
      <c r="F195" s="328">
        <f t="shared" si="21"/>
        <v>7567.87</v>
      </c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</row>
    <row r="196" ht="12.0" customHeight="1">
      <c r="A196" s="327"/>
      <c r="B196" s="335" t="s">
        <v>1391</v>
      </c>
      <c r="C196" s="337">
        <f t="shared" ref="C196:F196" si="22">C195+(C195*10/100)</f>
        <v>19432.424</v>
      </c>
      <c r="D196" s="337">
        <f t="shared" si="22"/>
        <v>17645.298</v>
      </c>
      <c r="E196" s="337">
        <f t="shared" si="22"/>
        <v>0</v>
      </c>
      <c r="F196" s="337">
        <f t="shared" si="22"/>
        <v>8324.657</v>
      </c>
      <c r="G196" s="327"/>
      <c r="H196" s="327"/>
      <c r="I196" s="327"/>
      <c r="J196" s="327"/>
      <c r="K196" s="327"/>
      <c r="L196" s="327"/>
      <c r="M196" s="327"/>
      <c r="N196" s="327"/>
      <c r="O196" s="327"/>
      <c r="P196" s="327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</row>
    <row r="197" ht="12.0" customHeight="1">
      <c r="A197" s="413"/>
      <c r="B197" s="413"/>
      <c r="C197" s="414"/>
      <c r="D197" s="414"/>
      <c r="E197" s="414"/>
      <c r="F197" s="414"/>
      <c r="G197" s="413"/>
      <c r="H197" s="413"/>
      <c r="I197" s="413"/>
      <c r="J197" s="413"/>
      <c r="K197" s="413"/>
      <c r="L197" s="413"/>
      <c r="M197" s="413"/>
      <c r="N197" s="413"/>
      <c r="O197" s="413"/>
      <c r="P197" s="413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</row>
    <row r="198" ht="12.0" customHeight="1">
      <c r="A198" s="413"/>
      <c r="B198" s="413"/>
      <c r="C198" s="414"/>
      <c r="D198" s="414"/>
      <c r="E198" s="414"/>
      <c r="F198" s="414"/>
      <c r="G198" s="413"/>
      <c r="H198" s="413"/>
      <c r="I198" s="413"/>
      <c r="J198" s="413"/>
      <c r="K198" s="413"/>
      <c r="L198" s="413"/>
      <c r="M198" s="413"/>
      <c r="N198" s="413"/>
      <c r="O198" s="413"/>
      <c r="P198" s="413"/>
      <c r="Q198" s="413"/>
      <c r="R198" s="413"/>
      <c r="S198" s="413"/>
      <c r="T198" s="413"/>
      <c r="U198" s="413"/>
      <c r="V198" s="413"/>
      <c r="W198" s="413"/>
      <c r="X198" s="413"/>
      <c r="Y198" s="413"/>
      <c r="Z198" s="413"/>
    </row>
    <row r="199" ht="12.0" customHeight="1">
      <c r="A199" s="413"/>
      <c r="B199" s="413" t="s">
        <v>1620</v>
      </c>
      <c r="C199" s="415">
        <f>C5+C15+C21+C26+C31+C35+C41+C50+C53+C59+C64+C68+C76+C98+C107+C111+C115+C122+C136+C178+C183+C188+C195+C103</f>
        <v>4121062.092</v>
      </c>
      <c r="D199" s="415">
        <f t="shared" ref="D199:F199" si="23">D5+D15+D21+D26+D31+D35+D41+D50+D53+D59+D64+D68+D76+D98+D107+D111+D115+D122+D136+D178+D183+D188+D195</f>
        <v>2556674.451</v>
      </c>
      <c r="E199" s="415">
        <f t="shared" si="23"/>
        <v>98522.57</v>
      </c>
      <c r="F199" s="415">
        <f t="shared" si="23"/>
        <v>322113.85</v>
      </c>
      <c r="G199" s="413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  <c r="T199" s="413"/>
      <c r="U199" s="413"/>
      <c r="V199" s="413"/>
      <c r="W199" s="413"/>
      <c r="X199" s="413"/>
      <c r="Y199" s="413"/>
      <c r="Z199" s="413"/>
    </row>
    <row r="200" ht="12.0" customHeight="1">
      <c r="A200" s="413"/>
      <c r="B200" s="413" t="s">
        <v>1632</v>
      </c>
      <c r="C200" s="337">
        <f t="shared" ref="C200:F200" si="24">C199+(C199*10/100)</f>
        <v>4533168.301</v>
      </c>
      <c r="D200" s="337">
        <f t="shared" si="24"/>
        <v>2812341.896</v>
      </c>
      <c r="E200" s="337">
        <f t="shared" si="24"/>
        <v>108374.827</v>
      </c>
      <c r="F200" s="337">
        <f t="shared" si="24"/>
        <v>354325.235</v>
      </c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</row>
    <row r="201" ht="12.0" customHeight="1">
      <c r="A201" s="413"/>
      <c r="B201" s="413"/>
      <c r="C201" s="414"/>
      <c r="D201" s="414"/>
      <c r="E201" s="414"/>
      <c r="F201" s="414"/>
      <c r="G201" s="413"/>
      <c r="H201" s="413"/>
      <c r="I201" s="413"/>
      <c r="J201" s="413"/>
      <c r="K201" s="413"/>
      <c r="L201" s="413"/>
      <c r="M201" s="413"/>
      <c r="N201" s="413"/>
      <c r="O201" s="413"/>
      <c r="P201" s="413"/>
      <c r="Q201" s="413"/>
      <c r="R201" s="413"/>
      <c r="S201" s="413"/>
      <c r="T201" s="413"/>
      <c r="U201" s="413"/>
      <c r="V201" s="413"/>
      <c r="W201" s="413"/>
      <c r="X201" s="413"/>
      <c r="Y201" s="413"/>
      <c r="Z201" s="413"/>
    </row>
    <row r="202" ht="12.0" customHeight="1">
      <c r="A202" s="413"/>
      <c r="B202" s="413"/>
      <c r="C202" s="414"/>
      <c r="D202" s="414"/>
      <c r="E202" s="414"/>
      <c r="F202" s="414"/>
      <c r="G202" s="413"/>
      <c r="H202" s="413"/>
      <c r="I202" s="413"/>
      <c r="J202" s="413"/>
      <c r="K202" s="413"/>
      <c r="L202" s="413"/>
      <c r="M202" s="413"/>
      <c r="N202" s="413"/>
      <c r="O202" s="413"/>
      <c r="P202" s="413"/>
      <c r="Q202" s="413"/>
      <c r="R202" s="413"/>
      <c r="S202" s="413"/>
      <c r="T202" s="413"/>
      <c r="U202" s="413"/>
      <c r="V202" s="413"/>
      <c r="W202" s="413"/>
      <c r="X202" s="413"/>
      <c r="Y202" s="413"/>
      <c r="Z202" s="413"/>
    </row>
    <row r="203" ht="12.0" customHeight="1">
      <c r="A203" s="413"/>
      <c r="B203" s="413"/>
      <c r="C203" s="414"/>
      <c r="D203" s="414"/>
      <c r="E203" s="414"/>
      <c r="F203" s="414"/>
      <c r="G203" s="413"/>
      <c r="H203" s="413"/>
      <c r="I203" s="413"/>
      <c r="J203" s="413"/>
      <c r="K203" s="413"/>
      <c r="L203" s="413"/>
      <c r="M203" s="413"/>
      <c r="N203" s="413"/>
      <c r="O203" s="413"/>
      <c r="P203" s="413"/>
      <c r="Q203" s="413"/>
      <c r="R203" s="413"/>
      <c r="S203" s="413"/>
      <c r="T203" s="413"/>
      <c r="U203" s="413"/>
      <c r="V203" s="413"/>
      <c r="W203" s="413"/>
      <c r="X203" s="413"/>
      <c r="Y203" s="413"/>
      <c r="Z203" s="413"/>
    </row>
    <row r="204" ht="12.0" customHeight="1">
      <c r="A204" s="413"/>
      <c r="B204" s="413"/>
      <c r="C204" s="414"/>
      <c r="D204" s="414"/>
      <c r="E204" s="414"/>
      <c r="F204" s="414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</row>
    <row r="205" ht="12.0" customHeight="1">
      <c r="A205" s="413"/>
      <c r="B205" s="413"/>
      <c r="C205" s="414"/>
      <c r="D205" s="414"/>
      <c r="E205" s="414"/>
      <c r="F205" s="414"/>
      <c r="G205" s="413"/>
      <c r="H205" s="413"/>
      <c r="I205" s="413"/>
      <c r="J205" s="413"/>
      <c r="K205" s="413"/>
      <c r="L205" s="413"/>
      <c r="M205" s="413"/>
      <c r="N205" s="413"/>
      <c r="O205" s="413"/>
      <c r="P205" s="413"/>
      <c r="Q205" s="413"/>
      <c r="R205" s="413"/>
      <c r="S205" s="413"/>
      <c r="T205" s="413"/>
      <c r="U205" s="413"/>
      <c r="V205" s="413"/>
      <c r="W205" s="413"/>
      <c r="X205" s="413"/>
      <c r="Y205" s="413"/>
      <c r="Z205" s="413"/>
    </row>
    <row r="206" ht="12.0" customHeight="1">
      <c r="A206" s="413"/>
      <c r="B206" s="413"/>
      <c r="C206" s="414"/>
      <c r="D206" s="414"/>
      <c r="E206" s="414"/>
      <c r="F206" s="414"/>
      <c r="G206" s="413"/>
      <c r="H206" s="413"/>
      <c r="I206" s="413"/>
      <c r="J206" s="413"/>
      <c r="K206" s="413"/>
      <c r="L206" s="413"/>
      <c r="M206" s="413"/>
      <c r="N206" s="413"/>
      <c r="O206" s="413"/>
      <c r="P206" s="413"/>
      <c r="Q206" s="413"/>
      <c r="R206" s="413"/>
      <c r="S206" s="413"/>
      <c r="T206" s="413"/>
      <c r="U206" s="413"/>
      <c r="V206" s="413"/>
      <c r="W206" s="413"/>
      <c r="X206" s="413"/>
      <c r="Y206" s="413"/>
      <c r="Z206" s="413"/>
    </row>
    <row r="207" ht="12.75" customHeight="1">
      <c r="A207" s="416"/>
      <c r="B207" s="416"/>
      <c r="C207" s="417"/>
      <c r="D207" s="417"/>
      <c r="E207" s="414"/>
      <c r="F207" s="414"/>
      <c r="G207" s="413"/>
      <c r="H207" s="413"/>
      <c r="I207" s="413"/>
      <c r="J207" s="413"/>
      <c r="K207" s="413"/>
      <c r="L207" s="413"/>
      <c r="M207" s="413"/>
      <c r="N207" s="413"/>
      <c r="O207" s="413"/>
      <c r="P207" s="413"/>
      <c r="Q207" s="413"/>
      <c r="R207" s="413"/>
      <c r="S207" s="413"/>
      <c r="T207" s="413"/>
      <c r="U207" s="413"/>
      <c r="V207" s="413"/>
      <c r="W207" s="413"/>
      <c r="X207" s="413"/>
      <c r="Y207" s="413"/>
      <c r="Z207" s="413"/>
    </row>
    <row r="208" ht="12.0" customHeight="1">
      <c r="A208" s="413"/>
      <c r="B208" s="413"/>
      <c r="C208" s="414"/>
      <c r="D208" s="414"/>
      <c r="E208" s="414"/>
      <c r="F208" s="414"/>
      <c r="G208" s="413"/>
      <c r="H208" s="413"/>
      <c r="I208" s="413"/>
      <c r="J208" s="413"/>
      <c r="K208" s="413"/>
      <c r="L208" s="413"/>
      <c r="M208" s="413"/>
      <c r="N208" s="413"/>
      <c r="O208" s="413"/>
      <c r="P208" s="413"/>
      <c r="Q208" s="413"/>
      <c r="R208" s="413"/>
      <c r="S208" s="413"/>
      <c r="T208" s="413"/>
      <c r="U208" s="413"/>
      <c r="V208" s="413"/>
      <c r="W208" s="413"/>
      <c r="X208" s="413"/>
      <c r="Y208" s="413"/>
      <c r="Z208" s="413"/>
    </row>
    <row r="209" ht="12.0" customHeight="1">
      <c r="A209" s="413"/>
      <c r="B209" s="413"/>
      <c r="C209" s="414"/>
      <c r="D209" s="414"/>
      <c r="E209" s="414"/>
      <c r="F209" s="414"/>
      <c r="G209" s="413"/>
      <c r="H209" s="413"/>
      <c r="I209" s="413"/>
      <c r="J209" s="413"/>
      <c r="K209" s="413"/>
      <c r="L209" s="413"/>
      <c r="M209" s="413"/>
      <c r="N209" s="413"/>
      <c r="O209" s="413"/>
      <c r="P209" s="413"/>
      <c r="Q209" s="413"/>
      <c r="R209" s="413"/>
      <c r="S209" s="413"/>
      <c r="T209" s="413"/>
      <c r="U209" s="413"/>
      <c r="V209" s="413"/>
      <c r="W209" s="413"/>
      <c r="X209" s="413"/>
      <c r="Y209" s="413"/>
      <c r="Z209" s="413"/>
    </row>
    <row r="210" ht="12.0" customHeight="1">
      <c r="A210" s="413"/>
      <c r="B210" s="413"/>
      <c r="C210" s="414"/>
      <c r="D210" s="414"/>
      <c r="E210" s="414"/>
      <c r="F210" s="414"/>
      <c r="G210" s="413"/>
      <c r="H210" s="413"/>
      <c r="I210" s="413"/>
      <c r="J210" s="413"/>
      <c r="K210" s="413"/>
      <c r="L210" s="413"/>
      <c r="M210" s="413"/>
      <c r="N210" s="413"/>
      <c r="O210" s="413"/>
      <c r="P210" s="413"/>
      <c r="Q210" s="413"/>
      <c r="R210" s="413"/>
      <c r="S210" s="413"/>
      <c r="T210" s="413"/>
      <c r="U210" s="413"/>
      <c r="V210" s="413"/>
      <c r="W210" s="413"/>
      <c r="X210" s="413"/>
      <c r="Y210" s="413"/>
      <c r="Z210" s="413"/>
    </row>
    <row r="211" ht="12.0" customHeight="1">
      <c r="A211" s="413"/>
      <c r="B211" s="413"/>
      <c r="C211" s="414"/>
      <c r="D211" s="414"/>
      <c r="E211" s="414"/>
      <c r="F211" s="414"/>
      <c r="G211" s="413"/>
      <c r="H211" s="413"/>
      <c r="I211" s="413"/>
      <c r="J211" s="413"/>
      <c r="K211" s="413"/>
      <c r="L211" s="413"/>
      <c r="M211" s="413"/>
      <c r="N211" s="413"/>
      <c r="O211" s="413"/>
      <c r="P211" s="413"/>
      <c r="Q211" s="413"/>
      <c r="R211" s="413"/>
      <c r="S211" s="413"/>
      <c r="T211" s="413"/>
      <c r="U211" s="413"/>
      <c r="V211" s="413"/>
      <c r="W211" s="413"/>
      <c r="X211" s="413"/>
      <c r="Y211" s="413"/>
      <c r="Z211" s="413"/>
    </row>
    <row r="212" ht="12.75" customHeight="1">
      <c r="A212" s="413"/>
      <c r="B212" s="413"/>
      <c r="C212" s="414"/>
      <c r="D212" s="414"/>
      <c r="E212" s="417"/>
      <c r="F212" s="417"/>
      <c r="G212" s="416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  <c r="T212" s="416"/>
      <c r="U212" s="416"/>
      <c r="V212" s="416"/>
      <c r="W212" s="416"/>
      <c r="X212" s="416"/>
      <c r="Y212" s="416"/>
      <c r="Z212" s="416"/>
    </row>
    <row r="213" ht="12.0" customHeight="1">
      <c r="A213" s="413"/>
      <c r="B213" s="413"/>
      <c r="C213" s="414"/>
      <c r="D213" s="414"/>
      <c r="E213" s="414"/>
      <c r="F213" s="414"/>
      <c r="G213" s="413"/>
      <c r="H213" s="413"/>
      <c r="I213" s="413"/>
      <c r="J213" s="413"/>
      <c r="K213" s="413"/>
      <c r="L213" s="413"/>
      <c r="M213" s="413"/>
      <c r="N213" s="413"/>
      <c r="O213" s="413"/>
      <c r="P213" s="413"/>
      <c r="Q213" s="413"/>
      <c r="R213" s="413"/>
      <c r="S213" s="413"/>
      <c r="T213" s="413"/>
      <c r="U213" s="413"/>
      <c r="V213" s="413"/>
      <c r="W213" s="413"/>
      <c r="X213" s="413"/>
      <c r="Y213" s="413"/>
      <c r="Z213" s="413"/>
    </row>
    <row r="214" ht="12.0" customHeight="1">
      <c r="A214" s="413"/>
      <c r="B214" s="413"/>
      <c r="C214" s="414"/>
      <c r="D214" s="414"/>
      <c r="E214" s="414"/>
      <c r="F214" s="414"/>
      <c r="G214" s="413"/>
      <c r="H214" s="413"/>
      <c r="I214" s="413"/>
      <c r="J214" s="413"/>
      <c r="K214" s="413"/>
      <c r="L214" s="413"/>
      <c r="M214" s="413"/>
      <c r="N214" s="413"/>
      <c r="O214" s="413"/>
      <c r="P214" s="413"/>
      <c r="Q214" s="413"/>
      <c r="R214" s="413"/>
      <c r="S214" s="413"/>
      <c r="T214" s="413"/>
      <c r="U214" s="413"/>
      <c r="V214" s="413"/>
      <c r="W214" s="413"/>
      <c r="X214" s="413"/>
      <c r="Y214" s="413"/>
      <c r="Z214" s="413"/>
    </row>
    <row r="215" ht="12.0" customHeight="1">
      <c r="A215" s="413"/>
      <c r="B215" s="413"/>
      <c r="C215" s="414"/>
      <c r="D215" s="414"/>
      <c r="E215" s="414"/>
      <c r="F215" s="414"/>
      <c r="G215" s="413"/>
      <c r="H215" s="413"/>
      <c r="I215" s="413"/>
      <c r="J215" s="413"/>
      <c r="K215" s="413"/>
      <c r="L215" s="413"/>
      <c r="M215" s="413"/>
      <c r="N215" s="413"/>
      <c r="O215" s="413"/>
      <c r="P215" s="413"/>
      <c r="Q215" s="413"/>
      <c r="R215" s="413"/>
      <c r="S215" s="413"/>
      <c r="T215" s="413"/>
      <c r="U215" s="413"/>
      <c r="V215" s="413"/>
      <c r="W215" s="413"/>
      <c r="X215" s="413"/>
      <c r="Y215" s="413"/>
      <c r="Z215" s="413"/>
    </row>
    <row r="216" ht="12.0" customHeight="1">
      <c r="A216" s="413"/>
      <c r="B216" s="413"/>
      <c r="C216" s="414"/>
      <c r="D216" s="414"/>
      <c r="E216" s="414"/>
      <c r="F216" s="414"/>
      <c r="G216" s="413"/>
      <c r="H216" s="413"/>
      <c r="I216" s="413"/>
      <c r="J216" s="413"/>
      <c r="K216" s="413"/>
      <c r="L216" s="413"/>
      <c r="M216" s="413"/>
      <c r="N216" s="413"/>
      <c r="O216" s="413"/>
      <c r="P216" s="413"/>
      <c r="Q216" s="413"/>
      <c r="R216" s="413"/>
      <c r="S216" s="413"/>
      <c r="T216" s="413"/>
      <c r="U216" s="413"/>
      <c r="V216" s="413"/>
      <c r="W216" s="413"/>
      <c r="X216" s="413"/>
      <c r="Y216" s="413"/>
      <c r="Z216" s="413"/>
    </row>
    <row r="217" ht="12.0" customHeight="1">
      <c r="A217" s="413"/>
      <c r="B217" s="413"/>
      <c r="C217" s="414"/>
      <c r="D217" s="414"/>
      <c r="E217" s="414"/>
      <c r="F217" s="414"/>
      <c r="G217" s="413"/>
      <c r="H217" s="413"/>
      <c r="I217" s="413"/>
      <c r="J217" s="413"/>
      <c r="K217" s="413"/>
      <c r="L217" s="413"/>
      <c r="M217" s="413"/>
      <c r="N217" s="413"/>
      <c r="O217" s="413"/>
      <c r="P217" s="413"/>
      <c r="Q217" s="413"/>
      <c r="R217" s="413"/>
      <c r="S217" s="413"/>
      <c r="T217" s="413"/>
      <c r="U217" s="413"/>
      <c r="V217" s="413"/>
      <c r="W217" s="413"/>
      <c r="X217" s="413"/>
      <c r="Y217" s="413"/>
      <c r="Z217" s="413"/>
    </row>
    <row r="218" ht="12.0" customHeight="1">
      <c r="A218" s="413"/>
      <c r="B218" s="413"/>
      <c r="C218" s="414"/>
      <c r="D218" s="414"/>
      <c r="E218" s="414"/>
      <c r="F218" s="414"/>
      <c r="G218" s="413"/>
      <c r="H218" s="413"/>
      <c r="I218" s="413"/>
      <c r="J218" s="413"/>
      <c r="K218" s="413"/>
      <c r="L218" s="413"/>
      <c r="M218" s="413"/>
      <c r="N218" s="413"/>
      <c r="O218" s="413"/>
      <c r="P218" s="413"/>
      <c r="Q218" s="413"/>
      <c r="R218" s="413"/>
      <c r="S218" s="413"/>
      <c r="T218" s="413"/>
      <c r="U218" s="413"/>
      <c r="V218" s="413"/>
      <c r="W218" s="413"/>
      <c r="X218" s="413"/>
      <c r="Y218" s="413"/>
      <c r="Z218" s="413"/>
    </row>
    <row r="219" ht="12.0" customHeight="1">
      <c r="A219" s="413"/>
      <c r="B219" s="413"/>
      <c r="C219" s="414"/>
      <c r="D219" s="414"/>
      <c r="E219" s="414"/>
      <c r="F219" s="414"/>
      <c r="G219" s="413"/>
      <c r="H219" s="413"/>
      <c r="I219" s="413"/>
      <c r="J219" s="413"/>
      <c r="K219" s="413"/>
      <c r="L219" s="413"/>
      <c r="M219" s="413"/>
      <c r="N219" s="413"/>
      <c r="O219" s="413"/>
      <c r="P219" s="413"/>
      <c r="Q219" s="413"/>
      <c r="R219" s="413"/>
      <c r="S219" s="413"/>
      <c r="T219" s="413"/>
      <c r="U219" s="413"/>
      <c r="V219" s="413"/>
      <c r="W219" s="413"/>
      <c r="X219" s="413"/>
      <c r="Y219" s="413"/>
      <c r="Z219" s="413"/>
    </row>
    <row r="220" ht="12.0" customHeight="1">
      <c r="A220" s="413"/>
      <c r="B220" s="413"/>
      <c r="C220" s="414"/>
      <c r="D220" s="414"/>
      <c r="E220" s="414"/>
      <c r="F220" s="414"/>
      <c r="G220" s="413"/>
      <c r="H220" s="413"/>
      <c r="I220" s="413"/>
      <c r="J220" s="413"/>
      <c r="K220" s="413"/>
      <c r="L220" s="413"/>
      <c r="M220" s="413"/>
      <c r="N220" s="413"/>
      <c r="O220" s="413"/>
      <c r="P220" s="413"/>
      <c r="Q220" s="413"/>
      <c r="R220" s="413"/>
      <c r="S220" s="413"/>
      <c r="T220" s="413"/>
      <c r="U220" s="413"/>
      <c r="V220" s="413"/>
      <c r="W220" s="413"/>
      <c r="X220" s="413"/>
      <c r="Y220" s="413"/>
      <c r="Z220" s="413"/>
    </row>
    <row r="221" ht="12.0" customHeight="1">
      <c r="A221" s="413"/>
      <c r="B221" s="413"/>
      <c r="C221" s="414"/>
      <c r="D221" s="414"/>
      <c r="E221" s="414"/>
      <c r="F221" s="414"/>
      <c r="G221" s="413"/>
      <c r="H221" s="413"/>
      <c r="I221" s="413"/>
      <c r="J221" s="413"/>
      <c r="K221" s="413"/>
      <c r="L221" s="413"/>
      <c r="M221" s="413"/>
      <c r="N221" s="413"/>
      <c r="O221" s="413"/>
      <c r="P221" s="413"/>
      <c r="Q221" s="413"/>
      <c r="R221" s="413"/>
      <c r="S221" s="413"/>
      <c r="T221" s="413"/>
      <c r="U221" s="413"/>
      <c r="V221" s="413"/>
      <c r="W221" s="413"/>
      <c r="X221" s="413"/>
      <c r="Y221" s="413"/>
      <c r="Z221" s="413"/>
    </row>
    <row r="222" ht="12.0" customHeight="1">
      <c r="A222" s="413"/>
      <c r="B222" s="413"/>
      <c r="C222" s="414"/>
      <c r="D222" s="414"/>
      <c r="E222" s="414"/>
      <c r="F222" s="414"/>
      <c r="G222" s="413"/>
      <c r="H222" s="413"/>
      <c r="I222" s="413"/>
      <c r="J222" s="413"/>
      <c r="K222" s="413"/>
      <c r="L222" s="413"/>
      <c r="M222" s="413"/>
      <c r="N222" s="413"/>
      <c r="O222" s="413"/>
      <c r="P222" s="413"/>
      <c r="Q222" s="413"/>
      <c r="R222" s="413"/>
      <c r="S222" s="413"/>
      <c r="T222" s="413"/>
      <c r="U222" s="413"/>
      <c r="V222" s="413"/>
      <c r="W222" s="413"/>
      <c r="X222" s="413"/>
      <c r="Y222" s="413"/>
      <c r="Z222" s="413"/>
    </row>
    <row r="223" ht="12.0" customHeight="1">
      <c r="A223" s="413"/>
      <c r="B223" s="413"/>
      <c r="C223" s="414"/>
      <c r="D223" s="414"/>
      <c r="E223" s="414"/>
      <c r="F223" s="414"/>
      <c r="G223" s="413"/>
      <c r="H223" s="413"/>
      <c r="I223" s="413"/>
      <c r="J223" s="413"/>
      <c r="K223" s="413"/>
      <c r="L223" s="413"/>
      <c r="M223" s="413"/>
      <c r="N223" s="413"/>
      <c r="O223" s="413"/>
      <c r="P223" s="413"/>
      <c r="Q223" s="413"/>
      <c r="R223" s="413"/>
      <c r="S223" s="413"/>
      <c r="T223" s="413"/>
      <c r="U223" s="413"/>
      <c r="V223" s="413"/>
      <c r="W223" s="413"/>
      <c r="X223" s="413"/>
      <c r="Y223" s="413"/>
      <c r="Z223" s="413"/>
    </row>
    <row r="224" ht="12.0" customHeight="1">
      <c r="A224" s="413"/>
      <c r="B224" s="413"/>
      <c r="C224" s="414"/>
      <c r="D224" s="414"/>
      <c r="E224" s="414"/>
      <c r="F224" s="414"/>
      <c r="G224" s="413"/>
      <c r="H224" s="413"/>
      <c r="I224" s="413"/>
      <c r="J224" s="413"/>
      <c r="K224" s="413"/>
      <c r="L224" s="413"/>
      <c r="M224" s="413"/>
      <c r="N224" s="413"/>
      <c r="O224" s="413"/>
      <c r="P224" s="413"/>
      <c r="Q224" s="413"/>
      <c r="R224" s="413"/>
      <c r="S224" s="413"/>
      <c r="T224" s="413"/>
      <c r="U224" s="413"/>
      <c r="V224" s="413"/>
      <c r="W224" s="413"/>
      <c r="X224" s="413"/>
      <c r="Y224" s="413"/>
      <c r="Z224" s="413"/>
    </row>
    <row r="225" ht="12.0" customHeight="1">
      <c r="A225" s="413"/>
      <c r="B225" s="413"/>
      <c r="C225" s="414"/>
      <c r="D225" s="414"/>
      <c r="E225" s="414"/>
      <c r="F225" s="414"/>
      <c r="G225" s="413"/>
      <c r="H225" s="413"/>
      <c r="I225" s="413"/>
      <c r="J225" s="413"/>
      <c r="K225" s="413"/>
      <c r="L225" s="413"/>
      <c r="M225" s="413"/>
      <c r="N225" s="413"/>
      <c r="O225" s="413"/>
      <c r="P225" s="413"/>
      <c r="Q225" s="413"/>
      <c r="R225" s="413"/>
      <c r="S225" s="413"/>
      <c r="T225" s="413"/>
      <c r="U225" s="413"/>
      <c r="V225" s="413"/>
      <c r="W225" s="413"/>
      <c r="X225" s="413"/>
      <c r="Y225" s="413"/>
      <c r="Z225" s="413"/>
    </row>
    <row r="226" ht="12.0" customHeight="1">
      <c r="A226" s="413"/>
      <c r="B226" s="413"/>
      <c r="C226" s="414"/>
      <c r="D226" s="414"/>
      <c r="E226" s="414"/>
      <c r="F226" s="414"/>
      <c r="G226" s="413"/>
      <c r="H226" s="413"/>
      <c r="I226" s="413"/>
      <c r="J226" s="413"/>
      <c r="K226" s="413"/>
      <c r="L226" s="413"/>
      <c r="M226" s="413"/>
      <c r="N226" s="413"/>
      <c r="O226" s="413"/>
      <c r="P226" s="413"/>
      <c r="Q226" s="413"/>
      <c r="R226" s="413"/>
      <c r="S226" s="413"/>
      <c r="T226" s="413"/>
      <c r="U226" s="413"/>
      <c r="V226" s="413"/>
      <c r="W226" s="413"/>
      <c r="X226" s="413"/>
      <c r="Y226" s="413"/>
      <c r="Z226" s="413"/>
    </row>
    <row r="227" ht="12.0" customHeight="1">
      <c r="A227" s="413"/>
      <c r="B227" s="413"/>
      <c r="C227" s="414"/>
      <c r="D227" s="414"/>
      <c r="E227" s="414"/>
      <c r="F227" s="414"/>
      <c r="G227" s="413"/>
      <c r="H227" s="413"/>
      <c r="I227" s="413"/>
      <c r="J227" s="413"/>
      <c r="K227" s="413"/>
      <c r="L227" s="413"/>
      <c r="M227" s="413"/>
      <c r="N227" s="413"/>
      <c r="O227" s="413"/>
      <c r="P227" s="413"/>
      <c r="Q227" s="413"/>
      <c r="R227" s="413"/>
      <c r="S227" s="413"/>
      <c r="T227" s="413"/>
      <c r="U227" s="413"/>
      <c r="V227" s="413"/>
      <c r="W227" s="413"/>
      <c r="X227" s="413"/>
      <c r="Y227" s="413"/>
      <c r="Z227" s="413"/>
    </row>
    <row r="228" ht="12.0" customHeight="1">
      <c r="A228" s="413"/>
      <c r="B228" s="413"/>
      <c r="C228" s="414"/>
      <c r="D228" s="414"/>
      <c r="E228" s="414"/>
      <c r="F228" s="414"/>
      <c r="G228" s="413"/>
      <c r="H228" s="413"/>
      <c r="I228" s="413"/>
      <c r="J228" s="413"/>
      <c r="K228" s="413"/>
      <c r="L228" s="413"/>
      <c r="M228" s="413"/>
      <c r="N228" s="413"/>
      <c r="O228" s="413"/>
      <c r="P228" s="413"/>
      <c r="Q228" s="413"/>
      <c r="R228" s="413"/>
      <c r="S228" s="413"/>
      <c r="T228" s="413"/>
      <c r="U228" s="413"/>
      <c r="V228" s="413"/>
      <c r="W228" s="413"/>
      <c r="X228" s="413"/>
      <c r="Y228" s="413"/>
      <c r="Z228" s="413"/>
    </row>
    <row r="229" ht="12.0" customHeight="1">
      <c r="A229" s="413"/>
      <c r="B229" s="413"/>
      <c r="C229" s="414"/>
      <c r="D229" s="414"/>
      <c r="E229" s="414"/>
      <c r="F229" s="414"/>
      <c r="G229" s="413"/>
      <c r="H229" s="413"/>
      <c r="I229" s="413"/>
      <c r="J229" s="413"/>
      <c r="K229" s="413"/>
      <c r="L229" s="413"/>
      <c r="M229" s="413"/>
      <c r="N229" s="413"/>
      <c r="O229" s="413"/>
      <c r="P229" s="413"/>
      <c r="Q229" s="413"/>
      <c r="R229" s="413"/>
      <c r="S229" s="413"/>
      <c r="T229" s="413"/>
      <c r="U229" s="413"/>
      <c r="V229" s="413"/>
      <c r="W229" s="413"/>
      <c r="X229" s="413"/>
      <c r="Y229" s="413"/>
      <c r="Z229" s="413"/>
    </row>
    <row r="230" ht="12.0" customHeight="1">
      <c r="A230" s="413"/>
      <c r="B230" s="413"/>
      <c r="C230" s="414"/>
      <c r="D230" s="414"/>
      <c r="E230" s="414"/>
      <c r="F230" s="414"/>
      <c r="G230" s="413"/>
      <c r="H230" s="413"/>
      <c r="I230" s="413"/>
      <c r="J230" s="413"/>
      <c r="K230" s="413"/>
      <c r="L230" s="413"/>
      <c r="M230" s="413"/>
      <c r="N230" s="413"/>
      <c r="O230" s="413"/>
      <c r="P230" s="413"/>
      <c r="Q230" s="413"/>
      <c r="R230" s="413"/>
      <c r="S230" s="413"/>
      <c r="T230" s="413"/>
      <c r="U230" s="413"/>
      <c r="V230" s="413"/>
      <c r="W230" s="413"/>
      <c r="X230" s="413"/>
      <c r="Y230" s="413"/>
      <c r="Z230" s="413"/>
    </row>
    <row r="231" ht="12.0" customHeight="1">
      <c r="A231" s="413"/>
      <c r="B231" s="413"/>
      <c r="C231" s="414"/>
      <c r="D231" s="414"/>
      <c r="E231" s="414"/>
      <c r="F231" s="414"/>
      <c r="G231" s="413"/>
      <c r="H231" s="413"/>
      <c r="I231" s="413"/>
      <c r="J231" s="413"/>
      <c r="K231" s="413"/>
      <c r="L231" s="413"/>
      <c r="M231" s="413"/>
      <c r="N231" s="413"/>
      <c r="O231" s="413"/>
      <c r="P231" s="413"/>
      <c r="Q231" s="413"/>
      <c r="R231" s="413"/>
      <c r="S231" s="413"/>
      <c r="T231" s="413"/>
      <c r="U231" s="413"/>
      <c r="V231" s="413"/>
      <c r="W231" s="413"/>
      <c r="X231" s="413"/>
      <c r="Y231" s="413"/>
      <c r="Z231" s="413"/>
    </row>
    <row r="232" ht="12.0" customHeight="1">
      <c r="A232" s="413"/>
      <c r="B232" s="413"/>
      <c r="C232" s="414"/>
      <c r="D232" s="414"/>
      <c r="E232" s="414"/>
      <c r="F232" s="414"/>
      <c r="G232" s="413"/>
      <c r="H232" s="413"/>
      <c r="I232" s="413"/>
      <c r="J232" s="413"/>
      <c r="K232" s="413"/>
      <c r="L232" s="413"/>
      <c r="M232" s="413"/>
      <c r="N232" s="413"/>
      <c r="O232" s="413"/>
      <c r="P232" s="413"/>
      <c r="Q232" s="413"/>
      <c r="R232" s="413"/>
      <c r="S232" s="413"/>
      <c r="T232" s="413"/>
      <c r="U232" s="413"/>
      <c r="V232" s="413"/>
      <c r="W232" s="413"/>
      <c r="X232" s="413"/>
      <c r="Y232" s="413"/>
      <c r="Z232" s="413"/>
    </row>
    <row r="233" ht="12.0" customHeight="1">
      <c r="A233" s="413"/>
      <c r="B233" s="413"/>
      <c r="C233" s="414"/>
      <c r="D233" s="414"/>
      <c r="E233" s="414"/>
      <c r="F233" s="414"/>
      <c r="G233" s="413"/>
      <c r="H233" s="413"/>
      <c r="I233" s="413"/>
      <c r="J233" s="413"/>
      <c r="K233" s="413"/>
      <c r="L233" s="413"/>
      <c r="M233" s="413"/>
      <c r="N233" s="413"/>
      <c r="O233" s="413"/>
      <c r="P233" s="413"/>
      <c r="Q233" s="413"/>
      <c r="R233" s="413"/>
      <c r="S233" s="413"/>
      <c r="T233" s="413"/>
      <c r="U233" s="413"/>
      <c r="V233" s="413"/>
      <c r="W233" s="413"/>
      <c r="X233" s="413"/>
      <c r="Y233" s="413"/>
      <c r="Z233" s="413"/>
    </row>
    <row r="234" ht="12.0" customHeight="1">
      <c r="A234" s="413"/>
      <c r="B234" s="413"/>
      <c r="C234" s="414"/>
      <c r="D234" s="414"/>
      <c r="E234" s="414"/>
      <c r="F234" s="414"/>
      <c r="G234" s="413"/>
      <c r="H234" s="413"/>
      <c r="I234" s="413"/>
      <c r="J234" s="413"/>
      <c r="K234" s="413"/>
      <c r="L234" s="413"/>
      <c r="M234" s="413"/>
      <c r="N234" s="413"/>
      <c r="O234" s="413"/>
      <c r="P234" s="413"/>
      <c r="Q234" s="413"/>
      <c r="R234" s="413"/>
      <c r="S234" s="413"/>
      <c r="T234" s="413"/>
      <c r="U234" s="413"/>
      <c r="V234" s="413"/>
      <c r="W234" s="413"/>
      <c r="X234" s="413"/>
      <c r="Y234" s="413"/>
      <c r="Z234" s="413"/>
    </row>
    <row r="235" ht="12.0" customHeight="1">
      <c r="A235" s="413"/>
      <c r="B235" s="413"/>
      <c r="C235" s="414"/>
      <c r="D235" s="414"/>
      <c r="E235" s="414"/>
      <c r="F235" s="414"/>
      <c r="G235" s="413"/>
      <c r="H235" s="413"/>
      <c r="I235" s="413"/>
      <c r="J235" s="413"/>
      <c r="K235" s="413"/>
      <c r="L235" s="413"/>
      <c r="M235" s="413"/>
      <c r="N235" s="413"/>
      <c r="O235" s="413"/>
      <c r="P235" s="413"/>
      <c r="Q235" s="413"/>
      <c r="R235" s="413"/>
      <c r="S235" s="413"/>
      <c r="T235" s="413"/>
      <c r="U235" s="413"/>
      <c r="V235" s="413"/>
      <c r="W235" s="413"/>
      <c r="X235" s="413"/>
      <c r="Y235" s="413"/>
      <c r="Z235" s="413"/>
    </row>
    <row r="236" ht="12.0" customHeight="1">
      <c r="A236" s="413"/>
      <c r="B236" s="413"/>
      <c r="C236" s="414"/>
      <c r="D236" s="414"/>
      <c r="E236" s="414"/>
      <c r="F236" s="414"/>
      <c r="G236" s="413"/>
      <c r="H236" s="413"/>
      <c r="I236" s="413"/>
      <c r="J236" s="413"/>
      <c r="K236" s="413"/>
      <c r="L236" s="413"/>
      <c r="M236" s="413"/>
      <c r="N236" s="413"/>
      <c r="O236" s="413"/>
      <c r="P236" s="413"/>
      <c r="Q236" s="413"/>
      <c r="R236" s="413"/>
      <c r="S236" s="413"/>
      <c r="T236" s="413"/>
      <c r="U236" s="413"/>
      <c r="V236" s="413"/>
      <c r="W236" s="413"/>
      <c r="X236" s="413"/>
      <c r="Y236" s="413"/>
      <c r="Z236" s="413"/>
    </row>
    <row r="237" ht="12.0" customHeight="1">
      <c r="A237" s="413"/>
      <c r="B237" s="413"/>
      <c r="C237" s="414"/>
      <c r="D237" s="414"/>
      <c r="E237" s="414"/>
      <c r="F237" s="414"/>
      <c r="G237" s="413"/>
      <c r="H237" s="413"/>
      <c r="I237" s="413"/>
      <c r="J237" s="413"/>
      <c r="K237" s="413"/>
      <c r="L237" s="413"/>
      <c r="M237" s="413"/>
      <c r="N237" s="413"/>
      <c r="O237" s="413"/>
      <c r="P237" s="413"/>
      <c r="Q237" s="413"/>
      <c r="R237" s="413"/>
      <c r="S237" s="413"/>
      <c r="T237" s="413"/>
      <c r="U237" s="413"/>
      <c r="V237" s="413"/>
      <c r="W237" s="413"/>
      <c r="X237" s="413"/>
      <c r="Y237" s="413"/>
      <c r="Z237" s="413"/>
    </row>
    <row r="238" ht="12.0" customHeight="1">
      <c r="A238" s="413"/>
      <c r="B238" s="413"/>
      <c r="C238" s="414"/>
      <c r="D238" s="414"/>
      <c r="E238" s="414"/>
      <c r="F238" s="414"/>
      <c r="G238" s="413"/>
      <c r="H238" s="413"/>
      <c r="I238" s="413"/>
      <c r="J238" s="413"/>
      <c r="K238" s="413"/>
      <c r="L238" s="413"/>
      <c r="M238" s="413"/>
      <c r="N238" s="413"/>
      <c r="O238" s="413"/>
      <c r="P238" s="413"/>
      <c r="Q238" s="413"/>
      <c r="R238" s="413"/>
      <c r="S238" s="413"/>
      <c r="T238" s="413"/>
      <c r="U238" s="413"/>
      <c r="V238" s="413"/>
      <c r="W238" s="413"/>
      <c r="X238" s="413"/>
      <c r="Y238" s="413"/>
      <c r="Z238" s="413"/>
    </row>
    <row r="239" ht="12.0" customHeight="1">
      <c r="A239" s="413"/>
      <c r="B239" s="413"/>
      <c r="C239" s="414"/>
      <c r="D239" s="414"/>
      <c r="E239" s="414"/>
      <c r="F239" s="414"/>
      <c r="G239" s="413"/>
      <c r="H239" s="413"/>
      <c r="I239" s="413"/>
      <c r="J239" s="413"/>
      <c r="K239" s="413"/>
      <c r="L239" s="413"/>
      <c r="M239" s="413"/>
      <c r="N239" s="413"/>
      <c r="O239" s="413"/>
      <c r="P239" s="413"/>
      <c r="Q239" s="413"/>
      <c r="R239" s="413"/>
      <c r="S239" s="413"/>
      <c r="T239" s="413"/>
      <c r="U239" s="413"/>
      <c r="V239" s="413"/>
      <c r="W239" s="413"/>
      <c r="X239" s="413"/>
      <c r="Y239" s="413"/>
      <c r="Z239" s="413"/>
    </row>
    <row r="240" ht="12.0" customHeight="1">
      <c r="A240" s="413"/>
      <c r="B240" s="413"/>
      <c r="C240" s="414"/>
      <c r="D240" s="414"/>
      <c r="E240" s="414"/>
      <c r="F240" s="414"/>
      <c r="G240" s="413"/>
      <c r="H240" s="413"/>
      <c r="I240" s="413"/>
      <c r="J240" s="413"/>
      <c r="K240" s="413"/>
      <c r="L240" s="413"/>
      <c r="M240" s="413"/>
      <c r="N240" s="413"/>
      <c r="O240" s="413"/>
      <c r="P240" s="413"/>
      <c r="Q240" s="413"/>
      <c r="R240" s="413"/>
      <c r="S240" s="413"/>
      <c r="T240" s="413"/>
      <c r="U240" s="413"/>
      <c r="V240" s="413"/>
      <c r="W240" s="413"/>
      <c r="X240" s="413"/>
      <c r="Y240" s="413"/>
      <c r="Z240" s="413"/>
    </row>
    <row r="241" ht="12.0" customHeight="1">
      <c r="A241" s="413"/>
      <c r="B241" s="413"/>
      <c r="C241" s="414"/>
      <c r="D241" s="414"/>
      <c r="E241" s="414"/>
      <c r="F241" s="414"/>
      <c r="G241" s="413"/>
      <c r="H241" s="413"/>
      <c r="I241" s="413"/>
      <c r="J241" s="413"/>
      <c r="K241" s="413"/>
      <c r="L241" s="413"/>
      <c r="M241" s="413"/>
      <c r="N241" s="413"/>
      <c r="O241" s="413"/>
      <c r="P241" s="413"/>
      <c r="Q241" s="413"/>
      <c r="R241" s="413"/>
      <c r="S241" s="413"/>
      <c r="T241" s="413"/>
      <c r="U241" s="413"/>
      <c r="V241" s="413"/>
      <c r="W241" s="413"/>
      <c r="X241" s="413"/>
      <c r="Y241" s="413"/>
      <c r="Z241" s="413"/>
    </row>
    <row r="242" ht="12.0" customHeight="1">
      <c r="A242" s="413"/>
      <c r="B242" s="413"/>
      <c r="C242" s="414"/>
      <c r="D242" s="414"/>
      <c r="E242" s="414"/>
      <c r="F242" s="414"/>
      <c r="G242" s="413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  <c r="T242" s="413"/>
      <c r="U242" s="413"/>
      <c r="V242" s="413"/>
      <c r="W242" s="413"/>
      <c r="X242" s="413"/>
      <c r="Y242" s="413"/>
      <c r="Z242" s="413"/>
    </row>
    <row r="243" ht="12.0" customHeight="1">
      <c r="A243" s="413"/>
      <c r="B243" s="413"/>
      <c r="C243" s="414"/>
      <c r="D243" s="414"/>
      <c r="E243" s="414"/>
      <c r="F243" s="414"/>
      <c r="G243" s="413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  <c r="T243" s="413"/>
      <c r="U243" s="413"/>
      <c r="V243" s="413"/>
      <c r="W243" s="413"/>
      <c r="X243" s="413"/>
      <c r="Y243" s="413"/>
      <c r="Z243" s="413"/>
    </row>
    <row r="244" ht="12.0" customHeight="1">
      <c r="A244" s="413"/>
      <c r="B244" s="413"/>
      <c r="C244" s="414"/>
      <c r="D244" s="414"/>
      <c r="E244" s="414"/>
      <c r="F244" s="414"/>
      <c r="G244" s="413"/>
      <c r="H244" s="413"/>
      <c r="I244" s="413"/>
      <c r="J244" s="413"/>
      <c r="K244" s="413"/>
      <c r="L244" s="413"/>
      <c r="M244" s="413"/>
      <c r="N244" s="413"/>
      <c r="O244" s="413"/>
      <c r="P244" s="413"/>
      <c r="Q244" s="413"/>
      <c r="R244" s="413"/>
      <c r="S244" s="413"/>
      <c r="T244" s="413"/>
      <c r="U244" s="413"/>
      <c r="V244" s="413"/>
      <c r="W244" s="413"/>
      <c r="X244" s="413"/>
      <c r="Y244" s="413"/>
      <c r="Z244" s="413"/>
    </row>
    <row r="245" ht="12.0" customHeight="1">
      <c r="A245" s="413"/>
      <c r="B245" s="413"/>
      <c r="C245" s="414"/>
      <c r="D245" s="414"/>
      <c r="E245" s="414"/>
      <c r="F245" s="414"/>
      <c r="G245" s="413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413"/>
      <c r="T245" s="413"/>
      <c r="U245" s="413"/>
      <c r="V245" s="413"/>
      <c r="W245" s="413"/>
      <c r="X245" s="413"/>
      <c r="Y245" s="413"/>
      <c r="Z245" s="413"/>
    </row>
    <row r="246" ht="12.0" customHeight="1">
      <c r="A246" s="413"/>
      <c r="B246" s="413"/>
      <c r="C246" s="414"/>
      <c r="D246" s="414"/>
      <c r="E246" s="414"/>
      <c r="F246" s="414"/>
      <c r="G246" s="413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413"/>
      <c r="T246" s="413"/>
      <c r="U246" s="413"/>
      <c r="V246" s="413"/>
      <c r="W246" s="413"/>
      <c r="X246" s="413"/>
      <c r="Y246" s="413"/>
      <c r="Z246" s="413"/>
    </row>
    <row r="247" ht="12.0" customHeight="1">
      <c r="A247" s="413"/>
      <c r="B247" s="413"/>
      <c r="C247" s="414"/>
      <c r="D247" s="414"/>
      <c r="E247" s="414"/>
      <c r="F247" s="414"/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  <c r="T247" s="413"/>
      <c r="U247" s="413"/>
      <c r="V247" s="413"/>
      <c r="W247" s="413"/>
      <c r="X247" s="413"/>
      <c r="Y247" s="413"/>
      <c r="Z247" s="413"/>
    </row>
    <row r="248" ht="12.0" customHeight="1">
      <c r="A248" s="413"/>
      <c r="B248" s="413"/>
      <c r="C248" s="414"/>
      <c r="D248" s="414"/>
      <c r="E248" s="414"/>
      <c r="F248" s="414"/>
      <c r="G248" s="413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  <c r="T248" s="413"/>
      <c r="U248" s="413"/>
      <c r="V248" s="413"/>
      <c r="W248" s="413"/>
      <c r="X248" s="413"/>
      <c r="Y248" s="413"/>
      <c r="Z248" s="413"/>
    </row>
    <row r="249" ht="12.0" customHeight="1">
      <c r="A249" s="413"/>
      <c r="B249" s="413"/>
      <c r="C249" s="414"/>
      <c r="D249" s="414"/>
      <c r="E249" s="414"/>
      <c r="F249" s="414"/>
      <c r="G249" s="413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  <c r="T249" s="413"/>
      <c r="U249" s="413"/>
      <c r="V249" s="413"/>
      <c r="W249" s="413"/>
      <c r="X249" s="413"/>
      <c r="Y249" s="413"/>
      <c r="Z249" s="413"/>
    </row>
    <row r="250" ht="12.0" customHeight="1">
      <c r="A250" s="413"/>
      <c r="B250" s="413"/>
      <c r="C250" s="414"/>
      <c r="D250" s="414"/>
      <c r="E250" s="414"/>
      <c r="F250" s="414"/>
      <c r="G250" s="413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</row>
    <row r="251" ht="12.0" customHeight="1">
      <c r="A251" s="413"/>
      <c r="B251" s="413"/>
      <c r="C251" s="414"/>
      <c r="D251" s="414"/>
      <c r="E251" s="414"/>
      <c r="F251" s="414"/>
      <c r="G251" s="413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  <c r="T251" s="413"/>
      <c r="U251" s="413"/>
      <c r="V251" s="413"/>
      <c r="W251" s="413"/>
      <c r="X251" s="413"/>
      <c r="Y251" s="413"/>
      <c r="Z251" s="413"/>
    </row>
    <row r="252" ht="12.0" customHeight="1">
      <c r="A252" s="413"/>
      <c r="B252" s="413"/>
      <c r="C252" s="414"/>
      <c r="D252" s="414"/>
      <c r="E252" s="414"/>
      <c r="F252" s="414"/>
      <c r="G252" s="413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  <c r="T252" s="413"/>
      <c r="U252" s="413"/>
      <c r="V252" s="413"/>
      <c r="W252" s="413"/>
      <c r="X252" s="413"/>
      <c r="Y252" s="413"/>
      <c r="Z252" s="413"/>
    </row>
    <row r="253" ht="12.0" customHeight="1">
      <c r="A253" s="413"/>
      <c r="B253" s="413"/>
      <c r="C253" s="414"/>
      <c r="D253" s="414"/>
      <c r="E253" s="414"/>
      <c r="F253" s="414"/>
      <c r="G253" s="413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  <c r="T253" s="413"/>
      <c r="U253" s="413"/>
      <c r="V253" s="413"/>
      <c r="W253" s="413"/>
      <c r="X253" s="413"/>
      <c r="Y253" s="413"/>
      <c r="Z253" s="413"/>
    </row>
    <row r="254" ht="12.0" customHeight="1">
      <c r="A254" s="413"/>
      <c r="B254" s="413"/>
      <c r="C254" s="414"/>
      <c r="D254" s="414"/>
      <c r="E254" s="414"/>
      <c r="F254" s="414"/>
      <c r="G254" s="413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  <c r="T254" s="413"/>
      <c r="U254" s="413"/>
      <c r="V254" s="413"/>
      <c r="W254" s="413"/>
      <c r="X254" s="413"/>
      <c r="Y254" s="413"/>
      <c r="Z254" s="413"/>
    </row>
    <row r="255" ht="12.0" customHeight="1">
      <c r="A255" s="413"/>
      <c r="B255" s="413"/>
      <c r="C255" s="414"/>
      <c r="D255" s="414"/>
      <c r="E255" s="414"/>
      <c r="F255" s="414"/>
      <c r="G255" s="413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  <c r="T255" s="413"/>
      <c r="U255" s="413"/>
      <c r="V255" s="413"/>
      <c r="W255" s="413"/>
      <c r="X255" s="413"/>
      <c r="Y255" s="413"/>
      <c r="Z255" s="413"/>
    </row>
    <row r="256" ht="12.0" customHeight="1">
      <c r="A256" s="413"/>
      <c r="B256" s="413"/>
      <c r="C256" s="414"/>
      <c r="D256" s="414"/>
      <c r="E256" s="414"/>
      <c r="F256" s="414"/>
      <c r="G256" s="413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  <c r="T256" s="413"/>
      <c r="U256" s="413"/>
      <c r="V256" s="413"/>
      <c r="W256" s="413"/>
      <c r="X256" s="413"/>
      <c r="Y256" s="413"/>
      <c r="Z256" s="413"/>
    </row>
    <row r="257" ht="12.0" customHeight="1">
      <c r="A257" s="413"/>
      <c r="B257" s="413"/>
      <c r="C257" s="414"/>
      <c r="D257" s="414"/>
      <c r="E257" s="414"/>
      <c r="F257" s="414"/>
      <c r="G257" s="413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  <c r="T257" s="413"/>
      <c r="U257" s="413"/>
      <c r="V257" s="413"/>
      <c r="W257" s="413"/>
      <c r="X257" s="413"/>
      <c r="Y257" s="413"/>
      <c r="Z257" s="413"/>
    </row>
    <row r="258" ht="12.0" customHeight="1">
      <c r="A258" s="413"/>
      <c r="B258" s="413"/>
      <c r="C258" s="414"/>
      <c r="D258" s="414"/>
      <c r="E258" s="414"/>
      <c r="F258" s="414"/>
      <c r="G258" s="413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  <c r="T258" s="413"/>
      <c r="U258" s="413"/>
      <c r="V258" s="413"/>
      <c r="W258" s="413"/>
      <c r="X258" s="413"/>
      <c r="Y258" s="413"/>
      <c r="Z258" s="413"/>
    </row>
    <row r="259" ht="12.0" customHeight="1">
      <c r="A259" s="413"/>
      <c r="B259" s="413"/>
      <c r="C259" s="414"/>
      <c r="D259" s="414"/>
      <c r="E259" s="414"/>
      <c r="F259" s="414"/>
      <c r="G259" s="413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  <c r="T259" s="413"/>
      <c r="U259" s="413"/>
      <c r="V259" s="413"/>
      <c r="W259" s="413"/>
      <c r="X259" s="413"/>
      <c r="Y259" s="413"/>
      <c r="Z259" s="413"/>
    </row>
    <row r="260" ht="12.0" customHeight="1">
      <c r="A260" s="413"/>
      <c r="B260" s="413"/>
      <c r="C260" s="414"/>
      <c r="D260" s="414"/>
      <c r="E260" s="414"/>
      <c r="F260" s="414"/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413"/>
      <c r="U260" s="413"/>
      <c r="V260" s="413"/>
      <c r="W260" s="413"/>
      <c r="X260" s="413"/>
      <c r="Y260" s="413"/>
      <c r="Z260" s="413"/>
    </row>
    <row r="261" ht="12.0" customHeight="1">
      <c r="A261" s="413"/>
      <c r="B261" s="413"/>
      <c r="C261" s="414"/>
      <c r="D261" s="414"/>
      <c r="E261" s="414"/>
      <c r="F261" s="414"/>
      <c r="G261" s="413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  <c r="T261" s="413"/>
      <c r="U261" s="413"/>
      <c r="V261" s="413"/>
      <c r="W261" s="413"/>
      <c r="X261" s="413"/>
      <c r="Y261" s="413"/>
      <c r="Z261" s="413"/>
    </row>
    <row r="262" ht="12.0" customHeight="1">
      <c r="A262" s="413"/>
      <c r="B262" s="413"/>
      <c r="C262" s="414"/>
      <c r="D262" s="414"/>
      <c r="E262" s="414"/>
      <c r="F262" s="414"/>
      <c r="G262" s="413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  <c r="T262" s="413"/>
      <c r="U262" s="413"/>
      <c r="V262" s="413"/>
      <c r="W262" s="413"/>
      <c r="X262" s="413"/>
      <c r="Y262" s="413"/>
      <c r="Z262" s="413"/>
    </row>
    <row r="263" ht="12.0" customHeight="1">
      <c r="A263" s="413"/>
      <c r="B263" s="413"/>
      <c r="C263" s="414"/>
      <c r="D263" s="414"/>
      <c r="E263" s="414"/>
      <c r="F263" s="414"/>
      <c r="G263" s="413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  <c r="T263" s="413"/>
      <c r="U263" s="413"/>
      <c r="V263" s="413"/>
      <c r="W263" s="413"/>
      <c r="X263" s="413"/>
      <c r="Y263" s="413"/>
      <c r="Z263" s="413"/>
    </row>
    <row r="264" ht="12.0" customHeight="1">
      <c r="A264" s="413"/>
      <c r="B264" s="413"/>
      <c r="C264" s="414"/>
      <c r="D264" s="414"/>
      <c r="E264" s="414"/>
      <c r="F264" s="414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</row>
    <row r="265" ht="12.0" customHeight="1">
      <c r="A265" s="413"/>
      <c r="B265" s="413"/>
      <c r="C265" s="414"/>
      <c r="D265" s="414"/>
      <c r="E265" s="414"/>
      <c r="F265" s="414"/>
      <c r="G265" s="413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  <c r="T265" s="413"/>
      <c r="U265" s="413"/>
      <c r="V265" s="413"/>
      <c r="W265" s="413"/>
      <c r="X265" s="413"/>
      <c r="Y265" s="413"/>
      <c r="Z265" s="413"/>
    </row>
    <row r="266" ht="12.0" customHeight="1">
      <c r="A266" s="413"/>
      <c r="B266" s="413"/>
      <c r="C266" s="414"/>
      <c r="D266" s="414"/>
      <c r="E266" s="414"/>
      <c r="F266" s="414"/>
      <c r="G266" s="413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</row>
    <row r="267" ht="12.0" customHeight="1">
      <c r="A267" s="413"/>
      <c r="B267" s="413"/>
      <c r="C267" s="414"/>
      <c r="D267" s="414"/>
      <c r="E267" s="414"/>
      <c r="F267" s="414"/>
      <c r="G267" s="413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  <c r="T267" s="413"/>
      <c r="U267" s="413"/>
      <c r="V267" s="413"/>
      <c r="W267" s="413"/>
      <c r="X267" s="413"/>
      <c r="Y267" s="413"/>
      <c r="Z267" s="413"/>
    </row>
    <row r="268" ht="12.0" customHeight="1">
      <c r="A268" s="413"/>
      <c r="B268" s="413"/>
      <c r="C268" s="414"/>
      <c r="D268" s="414"/>
      <c r="E268" s="414"/>
      <c r="F268" s="414"/>
      <c r="G268" s="413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  <c r="T268" s="413"/>
      <c r="U268" s="413"/>
      <c r="V268" s="413"/>
      <c r="W268" s="413"/>
      <c r="X268" s="413"/>
      <c r="Y268" s="413"/>
      <c r="Z268" s="413"/>
    </row>
    <row r="269" ht="12.0" customHeight="1">
      <c r="A269" s="413"/>
      <c r="B269" s="413"/>
      <c r="C269" s="414"/>
      <c r="D269" s="414"/>
      <c r="E269" s="414"/>
      <c r="F269" s="414"/>
      <c r="G269" s="413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  <c r="T269" s="413"/>
      <c r="U269" s="413"/>
      <c r="V269" s="413"/>
      <c r="W269" s="413"/>
      <c r="X269" s="413"/>
      <c r="Y269" s="413"/>
      <c r="Z269" s="413"/>
    </row>
    <row r="270" ht="12.0" customHeight="1">
      <c r="A270" s="413"/>
      <c r="B270" s="413"/>
      <c r="C270" s="414"/>
      <c r="D270" s="414"/>
      <c r="E270" s="414"/>
      <c r="F270" s="414"/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413"/>
      <c r="U270" s="413"/>
      <c r="V270" s="413"/>
      <c r="W270" s="413"/>
      <c r="X270" s="413"/>
      <c r="Y270" s="413"/>
      <c r="Z270" s="413"/>
    </row>
    <row r="271" ht="12.0" customHeight="1">
      <c r="A271" s="413"/>
      <c r="B271" s="413"/>
      <c r="C271" s="414"/>
      <c r="D271" s="414"/>
      <c r="E271" s="414"/>
      <c r="F271" s="414"/>
      <c r="G271" s="413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  <c r="T271" s="413"/>
      <c r="U271" s="413"/>
      <c r="V271" s="413"/>
      <c r="W271" s="413"/>
      <c r="X271" s="413"/>
      <c r="Y271" s="413"/>
      <c r="Z271" s="413"/>
    </row>
    <row r="272" ht="12.0" customHeight="1">
      <c r="A272" s="413"/>
      <c r="B272" s="413"/>
      <c r="C272" s="414"/>
      <c r="D272" s="414"/>
      <c r="E272" s="414"/>
      <c r="F272" s="414"/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3"/>
      <c r="U272" s="413"/>
      <c r="V272" s="413"/>
      <c r="W272" s="413"/>
      <c r="X272" s="413"/>
      <c r="Y272" s="413"/>
      <c r="Z272" s="413"/>
    </row>
    <row r="273" ht="12.0" customHeight="1">
      <c r="A273" s="413"/>
      <c r="B273" s="413"/>
      <c r="C273" s="414"/>
      <c r="D273" s="414"/>
      <c r="E273" s="414"/>
      <c r="F273" s="414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3"/>
      <c r="U273" s="413"/>
      <c r="V273" s="413"/>
      <c r="W273" s="413"/>
      <c r="X273" s="413"/>
      <c r="Y273" s="413"/>
      <c r="Z273" s="413"/>
    </row>
    <row r="274" ht="12.0" customHeight="1">
      <c r="A274" s="413"/>
      <c r="B274" s="413"/>
      <c r="C274" s="414"/>
      <c r="D274" s="414"/>
      <c r="E274" s="414"/>
      <c r="F274" s="414"/>
      <c r="G274" s="413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  <c r="T274" s="413"/>
      <c r="U274" s="413"/>
      <c r="V274" s="413"/>
      <c r="W274" s="413"/>
      <c r="X274" s="413"/>
      <c r="Y274" s="413"/>
      <c r="Z274" s="413"/>
    </row>
    <row r="275" ht="12.0" customHeight="1">
      <c r="A275" s="413"/>
      <c r="B275" s="413"/>
      <c r="C275" s="414"/>
      <c r="D275" s="414"/>
      <c r="E275" s="414"/>
      <c r="F275" s="414"/>
      <c r="G275" s="413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  <c r="T275" s="413"/>
      <c r="U275" s="413"/>
      <c r="V275" s="413"/>
      <c r="W275" s="413"/>
      <c r="X275" s="413"/>
      <c r="Y275" s="413"/>
      <c r="Z275" s="413"/>
    </row>
    <row r="276" ht="12.0" customHeight="1">
      <c r="A276" s="413"/>
      <c r="B276" s="413"/>
      <c r="C276" s="414"/>
      <c r="D276" s="414"/>
      <c r="E276" s="414"/>
      <c r="F276" s="414"/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  <c r="T276" s="413"/>
      <c r="U276" s="413"/>
      <c r="V276" s="413"/>
      <c r="W276" s="413"/>
      <c r="X276" s="413"/>
      <c r="Y276" s="413"/>
      <c r="Z276" s="413"/>
    </row>
    <row r="277" ht="12.0" customHeight="1">
      <c r="A277" s="413"/>
      <c r="B277" s="413"/>
      <c r="C277" s="414"/>
      <c r="D277" s="414"/>
      <c r="E277" s="414"/>
      <c r="F277" s="414"/>
      <c r="G277" s="413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  <c r="T277" s="413"/>
      <c r="U277" s="413"/>
      <c r="V277" s="413"/>
      <c r="W277" s="413"/>
      <c r="X277" s="413"/>
      <c r="Y277" s="413"/>
      <c r="Z277" s="413"/>
    </row>
    <row r="278" ht="12.0" customHeight="1">
      <c r="A278" s="413"/>
      <c r="B278" s="413"/>
      <c r="C278" s="414"/>
      <c r="D278" s="414"/>
      <c r="E278" s="414"/>
      <c r="F278" s="414"/>
      <c r="G278" s="413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  <c r="T278" s="413"/>
      <c r="U278" s="413"/>
      <c r="V278" s="413"/>
      <c r="W278" s="413"/>
      <c r="X278" s="413"/>
      <c r="Y278" s="413"/>
      <c r="Z278" s="413"/>
    </row>
    <row r="279" ht="12.0" customHeight="1">
      <c r="A279" s="413"/>
      <c r="B279" s="413"/>
      <c r="C279" s="414"/>
      <c r="D279" s="414"/>
      <c r="E279" s="414"/>
      <c r="F279" s="414"/>
      <c r="G279" s="413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  <c r="T279" s="413"/>
      <c r="U279" s="413"/>
      <c r="V279" s="413"/>
      <c r="W279" s="413"/>
      <c r="X279" s="413"/>
      <c r="Y279" s="413"/>
      <c r="Z279" s="413"/>
    </row>
    <row r="280" ht="12.0" customHeight="1">
      <c r="A280" s="413"/>
      <c r="B280" s="413"/>
      <c r="C280" s="414"/>
      <c r="D280" s="414"/>
      <c r="E280" s="414"/>
      <c r="F280" s="414"/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</row>
    <row r="281" ht="12.0" customHeight="1">
      <c r="A281" s="413"/>
      <c r="B281" s="413"/>
      <c r="C281" s="414"/>
      <c r="D281" s="414"/>
      <c r="E281" s="414"/>
      <c r="F281" s="414"/>
      <c r="G281" s="413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  <c r="T281" s="413"/>
      <c r="U281" s="413"/>
      <c r="V281" s="413"/>
      <c r="W281" s="413"/>
      <c r="X281" s="413"/>
      <c r="Y281" s="413"/>
      <c r="Z281" s="413"/>
    </row>
    <row r="282" ht="12.0" customHeight="1">
      <c r="A282" s="413"/>
      <c r="B282" s="413"/>
      <c r="C282" s="414"/>
      <c r="D282" s="414"/>
      <c r="E282" s="414"/>
      <c r="F282" s="414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</row>
    <row r="283" ht="12.0" customHeight="1">
      <c r="A283" s="413"/>
      <c r="B283" s="413"/>
      <c r="C283" s="414"/>
      <c r="D283" s="414"/>
      <c r="E283" s="414"/>
      <c r="F283" s="414"/>
      <c r="G283" s="41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  <c r="T283" s="413"/>
      <c r="U283" s="413"/>
      <c r="V283" s="413"/>
      <c r="W283" s="413"/>
      <c r="X283" s="413"/>
      <c r="Y283" s="413"/>
      <c r="Z283" s="413"/>
    </row>
    <row r="284" ht="12.0" customHeight="1">
      <c r="A284" s="413"/>
      <c r="B284" s="413"/>
      <c r="C284" s="414"/>
      <c r="D284" s="414"/>
      <c r="E284" s="414"/>
      <c r="F284" s="414"/>
      <c r="G284" s="413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  <c r="T284" s="413"/>
      <c r="U284" s="413"/>
      <c r="V284" s="413"/>
      <c r="W284" s="413"/>
      <c r="X284" s="413"/>
      <c r="Y284" s="413"/>
      <c r="Z284" s="413"/>
    </row>
    <row r="285" ht="12.0" customHeight="1">
      <c r="A285" s="413"/>
      <c r="B285" s="413"/>
      <c r="C285" s="414"/>
      <c r="D285" s="414"/>
      <c r="E285" s="414"/>
      <c r="F285" s="414"/>
      <c r="G285" s="413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  <c r="T285" s="413"/>
      <c r="U285" s="413"/>
      <c r="V285" s="413"/>
      <c r="W285" s="413"/>
      <c r="X285" s="413"/>
      <c r="Y285" s="413"/>
      <c r="Z285" s="413"/>
    </row>
    <row r="286" ht="12.0" customHeight="1">
      <c r="A286" s="413"/>
      <c r="B286" s="413"/>
      <c r="C286" s="414"/>
      <c r="D286" s="414"/>
      <c r="E286" s="414"/>
      <c r="F286" s="414"/>
      <c r="G286" s="413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  <c r="T286" s="413"/>
      <c r="U286" s="413"/>
      <c r="V286" s="413"/>
      <c r="W286" s="413"/>
      <c r="X286" s="413"/>
      <c r="Y286" s="413"/>
      <c r="Z286" s="413"/>
    </row>
    <row r="287" ht="12.0" customHeight="1">
      <c r="A287" s="413"/>
      <c r="B287" s="413"/>
      <c r="C287" s="414"/>
      <c r="D287" s="414"/>
      <c r="E287" s="414"/>
      <c r="F287" s="414"/>
      <c r="G287" s="413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  <c r="T287" s="413"/>
      <c r="U287" s="413"/>
      <c r="V287" s="413"/>
      <c r="W287" s="413"/>
      <c r="X287" s="413"/>
      <c r="Y287" s="413"/>
      <c r="Z287" s="413"/>
    </row>
    <row r="288" ht="12.0" customHeight="1">
      <c r="A288" s="413"/>
      <c r="B288" s="413"/>
      <c r="C288" s="414"/>
      <c r="D288" s="414"/>
      <c r="E288" s="414"/>
      <c r="F288" s="414"/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  <c r="W288" s="413"/>
      <c r="X288" s="413"/>
      <c r="Y288" s="413"/>
      <c r="Z288" s="413"/>
    </row>
    <row r="289" ht="12.0" customHeight="1">
      <c r="A289" s="413"/>
      <c r="B289" s="413"/>
      <c r="C289" s="414"/>
      <c r="D289" s="414"/>
      <c r="E289" s="414"/>
      <c r="F289" s="414"/>
      <c r="G289" s="413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  <c r="T289" s="413"/>
      <c r="U289" s="413"/>
      <c r="V289" s="413"/>
      <c r="W289" s="413"/>
      <c r="X289" s="413"/>
      <c r="Y289" s="413"/>
      <c r="Z289" s="413"/>
    </row>
    <row r="290" ht="12.0" customHeight="1">
      <c r="A290" s="413"/>
      <c r="B290" s="413"/>
      <c r="C290" s="414"/>
      <c r="D290" s="414"/>
      <c r="E290" s="414"/>
      <c r="F290" s="414"/>
      <c r="G290" s="413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  <c r="T290" s="413"/>
      <c r="U290" s="413"/>
      <c r="V290" s="413"/>
      <c r="W290" s="413"/>
      <c r="X290" s="413"/>
      <c r="Y290" s="413"/>
      <c r="Z290" s="413"/>
    </row>
    <row r="291" ht="12.0" customHeight="1">
      <c r="A291" s="413"/>
      <c r="B291" s="413"/>
      <c r="C291" s="414"/>
      <c r="D291" s="414"/>
      <c r="E291" s="414"/>
      <c r="F291" s="414"/>
      <c r="G291" s="413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  <c r="T291" s="413"/>
      <c r="U291" s="413"/>
      <c r="V291" s="413"/>
      <c r="W291" s="413"/>
      <c r="X291" s="413"/>
      <c r="Y291" s="413"/>
      <c r="Z291" s="413"/>
    </row>
    <row r="292" ht="12.0" customHeight="1">
      <c r="A292" s="413"/>
      <c r="B292" s="413"/>
      <c r="C292" s="414"/>
      <c r="D292" s="414"/>
      <c r="E292" s="414"/>
      <c r="F292" s="414"/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  <c r="T292" s="413"/>
      <c r="U292" s="413"/>
      <c r="V292" s="413"/>
      <c r="W292" s="413"/>
      <c r="X292" s="413"/>
      <c r="Y292" s="413"/>
      <c r="Z292" s="413"/>
    </row>
    <row r="293" ht="12.0" customHeight="1">
      <c r="A293" s="413"/>
      <c r="B293" s="413"/>
      <c r="C293" s="414"/>
      <c r="D293" s="414"/>
      <c r="E293" s="414"/>
      <c r="F293" s="414"/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  <c r="T293" s="413"/>
      <c r="U293" s="413"/>
      <c r="V293" s="413"/>
      <c r="W293" s="413"/>
      <c r="X293" s="413"/>
      <c r="Y293" s="413"/>
      <c r="Z293" s="413"/>
    </row>
    <row r="294" ht="12.0" customHeight="1">
      <c r="A294" s="413"/>
      <c r="B294" s="413"/>
      <c r="C294" s="414"/>
      <c r="D294" s="414"/>
      <c r="E294" s="414"/>
      <c r="F294" s="414"/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  <c r="T294" s="413"/>
      <c r="U294" s="413"/>
      <c r="V294" s="413"/>
      <c r="W294" s="413"/>
      <c r="X294" s="413"/>
      <c r="Y294" s="413"/>
      <c r="Z294" s="413"/>
    </row>
    <row r="295" ht="12.0" customHeight="1">
      <c r="A295" s="413"/>
      <c r="B295" s="413"/>
      <c r="C295" s="414"/>
      <c r="D295" s="414"/>
      <c r="E295" s="414"/>
      <c r="F295" s="414"/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  <c r="T295" s="413"/>
      <c r="U295" s="413"/>
      <c r="V295" s="413"/>
      <c r="W295" s="413"/>
      <c r="X295" s="413"/>
      <c r="Y295" s="413"/>
      <c r="Z295" s="413"/>
    </row>
    <row r="296" ht="12.0" customHeight="1">
      <c r="A296" s="413"/>
      <c r="B296" s="413"/>
      <c r="C296" s="414"/>
      <c r="D296" s="414"/>
      <c r="E296" s="414"/>
      <c r="F296" s="414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</row>
    <row r="297" ht="12.0" customHeight="1">
      <c r="A297" s="413"/>
      <c r="B297" s="413"/>
      <c r="C297" s="414"/>
      <c r="D297" s="414"/>
      <c r="E297" s="414"/>
      <c r="F297" s="414"/>
      <c r="G297" s="413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  <c r="T297" s="413"/>
      <c r="U297" s="413"/>
      <c r="V297" s="413"/>
      <c r="W297" s="413"/>
      <c r="X297" s="413"/>
      <c r="Y297" s="413"/>
      <c r="Z297" s="413"/>
    </row>
    <row r="298" ht="12.0" customHeight="1">
      <c r="A298" s="413"/>
      <c r="B298" s="413"/>
      <c r="C298" s="414"/>
      <c r="D298" s="414"/>
      <c r="E298" s="414"/>
      <c r="F298" s="414"/>
      <c r="G298" s="413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  <c r="T298" s="413"/>
      <c r="U298" s="413"/>
      <c r="V298" s="413"/>
      <c r="W298" s="413"/>
      <c r="X298" s="413"/>
      <c r="Y298" s="413"/>
      <c r="Z298" s="413"/>
    </row>
    <row r="299" ht="12.0" customHeight="1">
      <c r="A299" s="413"/>
      <c r="B299" s="413"/>
      <c r="C299" s="414"/>
      <c r="D299" s="414"/>
      <c r="E299" s="414"/>
      <c r="F299" s="414"/>
      <c r="G299" s="413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  <c r="T299" s="413"/>
      <c r="U299" s="413"/>
      <c r="V299" s="413"/>
      <c r="W299" s="413"/>
      <c r="X299" s="413"/>
      <c r="Y299" s="413"/>
      <c r="Z299" s="413"/>
    </row>
    <row r="300" ht="12.0" customHeight="1">
      <c r="A300" s="413"/>
      <c r="B300" s="413"/>
      <c r="C300" s="414"/>
      <c r="D300" s="414"/>
      <c r="E300" s="414"/>
      <c r="F300" s="414"/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  <c r="T300" s="413"/>
      <c r="U300" s="413"/>
      <c r="V300" s="413"/>
      <c r="W300" s="413"/>
      <c r="X300" s="413"/>
      <c r="Y300" s="413"/>
      <c r="Z300" s="413"/>
    </row>
    <row r="301" ht="12.0" customHeight="1">
      <c r="A301" s="413"/>
      <c r="B301" s="413"/>
      <c r="C301" s="414"/>
      <c r="D301" s="414"/>
      <c r="E301" s="414"/>
      <c r="F301" s="414"/>
      <c r="G301" s="413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</row>
    <row r="302" ht="12.0" customHeight="1">
      <c r="A302" s="413"/>
      <c r="B302" s="413"/>
      <c r="C302" s="414"/>
      <c r="D302" s="414"/>
      <c r="E302" s="414"/>
      <c r="F302" s="414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</row>
    <row r="303" ht="12.0" customHeight="1">
      <c r="A303" s="413"/>
      <c r="B303" s="413"/>
      <c r="C303" s="414"/>
      <c r="D303" s="414"/>
      <c r="E303" s="414"/>
      <c r="F303" s="414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</row>
    <row r="304" ht="12.0" customHeight="1">
      <c r="A304" s="413"/>
      <c r="B304" s="413"/>
      <c r="C304" s="414"/>
      <c r="D304" s="414"/>
      <c r="E304" s="414"/>
      <c r="F304" s="414"/>
      <c r="G304" s="413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  <c r="W304" s="413"/>
      <c r="X304" s="413"/>
      <c r="Y304" s="413"/>
      <c r="Z304" s="413"/>
    </row>
    <row r="305" ht="12.0" customHeight="1">
      <c r="A305" s="413"/>
      <c r="B305" s="413"/>
      <c r="C305" s="414"/>
      <c r="D305" s="414"/>
      <c r="E305" s="414"/>
      <c r="F305" s="414"/>
      <c r="G305" s="413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  <c r="W305" s="413"/>
      <c r="X305" s="413"/>
      <c r="Y305" s="413"/>
      <c r="Z305" s="413"/>
    </row>
    <row r="306" ht="12.0" customHeight="1">
      <c r="A306" s="413"/>
      <c r="B306" s="413"/>
      <c r="C306" s="414"/>
      <c r="D306" s="414"/>
      <c r="E306" s="414"/>
      <c r="F306" s="414"/>
      <c r="G306" s="413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  <c r="T306" s="413"/>
      <c r="U306" s="413"/>
      <c r="V306" s="413"/>
      <c r="W306" s="413"/>
      <c r="X306" s="413"/>
      <c r="Y306" s="413"/>
      <c r="Z306" s="413"/>
    </row>
    <row r="307" ht="12.0" customHeight="1">
      <c r="A307" s="413"/>
      <c r="B307" s="413"/>
      <c r="C307" s="414"/>
      <c r="D307" s="414"/>
      <c r="E307" s="414"/>
      <c r="F307" s="414"/>
      <c r="G307" s="413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  <c r="T307" s="413"/>
      <c r="U307" s="413"/>
      <c r="V307" s="413"/>
      <c r="W307" s="413"/>
      <c r="X307" s="413"/>
      <c r="Y307" s="413"/>
      <c r="Z307" s="413"/>
    </row>
    <row r="308" ht="12.0" customHeight="1">
      <c r="A308" s="413"/>
      <c r="B308" s="413"/>
      <c r="C308" s="414"/>
      <c r="D308" s="414"/>
      <c r="E308" s="414"/>
      <c r="F308" s="414"/>
      <c r="G308" s="413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  <c r="T308" s="413"/>
      <c r="U308" s="413"/>
      <c r="V308" s="413"/>
      <c r="W308" s="413"/>
      <c r="X308" s="413"/>
      <c r="Y308" s="413"/>
      <c r="Z308" s="413"/>
    </row>
    <row r="309" ht="12.0" customHeight="1">
      <c r="A309" s="413"/>
      <c r="B309" s="413"/>
      <c r="C309" s="414"/>
      <c r="D309" s="414"/>
      <c r="E309" s="414"/>
      <c r="F309" s="414"/>
      <c r="G309" s="413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413"/>
      <c r="W309" s="413"/>
      <c r="X309" s="413"/>
      <c r="Y309" s="413"/>
      <c r="Z309" s="413"/>
    </row>
    <row r="310" ht="12.0" customHeight="1">
      <c r="A310" s="413"/>
      <c r="B310" s="413"/>
      <c r="C310" s="414"/>
      <c r="D310" s="414"/>
      <c r="E310" s="414"/>
      <c r="F310" s="414"/>
      <c r="G310" s="413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413"/>
      <c r="W310" s="413"/>
      <c r="X310" s="413"/>
      <c r="Y310" s="413"/>
      <c r="Z310" s="413"/>
    </row>
    <row r="311" ht="12.0" customHeight="1">
      <c r="A311" s="413"/>
      <c r="B311" s="413"/>
      <c r="C311" s="414"/>
      <c r="D311" s="414"/>
      <c r="E311" s="414"/>
      <c r="F311" s="414"/>
      <c r="G311" s="413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413"/>
      <c r="W311" s="413"/>
      <c r="X311" s="413"/>
      <c r="Y311" s="413"/>
      <c r="Z311" s="413"/>
    </row>
    <row r="312" ht="12.0" customHeight="1">
      <c r="A312" s="413"/>
      <c r="B312" s="413"/>
      <c r="C312" s="414"/>
      <c r="D312" s="414"/>
      <c r="E312" s="414"/>
      <c r="F312" s="414"/>
      <c r="G312" s="413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413"/>
      <c r="W312" s="413"/>
      <c r="X312" s="413"/>
      <c r="Y312" s="413"/>
      <c r="Z312" s="413"/>
    </row>
    <row r="313" ht="12.0" customHeight="1">
      <c r="A313" s="413"/>
      <c r="B313" s="413"/>
      <c r="C313" s="414"/>
      <c r="D313" s="414"/>
      <c r="E313" s="414"/>
      <c r="F313" s="414"/>
      <c r="G313" s="4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413"/>
      <c r="W313" s="413"/>
      <c r="X313" s="413"/>
      <c r="Y313" s="413"/>
      <c r="Z313" s="413"/>
    </row>
    <row r="314" ht="12.0" customHeight="1">
      <c r="A314" s="413"/>
      <c r="B314" s="413"/>
      <c r="C314" s="414"/>
      <c r="D314" s="414"/>
      <c r="E314" s="414"/>
      <c r="F314" s="414"/>
      <c r="G314" s="413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413"/>
      <c r="W314" s="413"/>
      <c r="X314" s="413"/>
      <c r="Y314" s="413"/>
      <c r="Z314" s="413"/>
    </row>
    <row r="315" ht="12.0" customHeight="1">
      <c r="A315" s="413"/>
      <c r="B315" s="413"/>
      <c r="C315" s="414"/>
      <c r="D315" s="414"/>
      <c r="E315" s="414"/>
      <c r="F315" s="414"/>
      <c r="G315" s="413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413"/>
      <c r="W315" s="413"/>
      <c r="X315" s="413"/>
      <c r="Y315" s="413"/>
      <c r="Z315" s="413"/>
    </row>
    <row r="316" ht="12.0" customHeight="1">
      <c r="A316" s="413"/>
      <c r="B316" s="413"/>
      <c r="C316" s="414"/>
      <c r="D316" s="414"/>
      <c r="E316" s="414"/>
      <c r="F316" s="414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413"/>
      <c r="W316" s="413"/>
      <c r="X316" s="413"/>
      <c r="Y316" s="413"/>
      <c r="Z316" s="413"/>
    </row>
    <row r="317" ht="12.0" customHeight="1">
      <c r="A317" s="413"/>
      <c r="B317" s="413"/>
      <c r="C317" s="414"/>
      <c r="D317" s="414"/>
      <c r="E317" s="414"/>
      <c r="F317" s="414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413"/>
      <c r="W317" s="413"/>
      <c r="X317" s="413"/>
      <c r="Y317" s="413"/>
      <c r="Z317" s="413"/>
    </row>
    <row r="318" ht="12.0" customHeight="1">
      <c r="A318" s="413"/>
      <c r="B318" s="413"/>
      <c r="C318" s="414"/>
      <c r="D318" s="414"/>
      <c r="E318" s="414"/>
      <c r="F318" s="414"/>
      <c r="G318" s="413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413"/>
      <c r="W318" s="413"/>
      <c r="X318" s="413"/>
      <c r="Y318" s="413"/>
      <c r="Z318" s="413"/>
    </row>
    <row r="319" ht="12.0" customHeight="1">
      <c r="A319" s="413"/>
      <c r="B319" s="413"/>
      <c r="C319" s="414"/>
      <c r="D319" s="414"/>
      <c r="E319" s="414"/>
      <c r="F319" s="414"/>
      <c r="G319" s="413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413"/>
      <c r="W319" s="413"/>
      <c r="X319" s="413"/>
      <c r="Y319" s="413"/>
      <c r="Z319" s="413"/>
    </row>
    <row r="320" ht="12.0" customHeight="1">
      <c r="A320" s="413"/>
      <c r="B320" s="413"/>
      <c r="C320" s="414"/>
      <c r="D320" s="414"/>
      <c r="E320" s="414"/>
      <c r="F320" s="414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413"/>
      <c r="W320" s="413"/>
      <c r="X320" s="413"/>
      <c r="Y320" s="413"/>
      <c r="Z320" s="413"/>
    </row>
    <row r="321" ht="12.0" customHeight="1">
      <c r="A321" s="413"/>
      <c r="B321" s="413"/>
      <c r="C321" s="414"/>
      <c r="D321" s="414"/>
      <c r="E321" s="414"/>
      <c r="F321" s="414"/>
      <c r="G321" s="413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413"/>
      <c r="W321" s="413"/>
      <c r="X321" s="413"/>
      <c r="Y321" s="413"/>
      <c r="Z321" s="413"/>
    </row>
    <row r="322" ht="12.0" customHeight="1">
      <c r="A322" s="413"/>
      <c r="B322" s="413"/>
      <c r="C322" s="414"/>
      <c r="D322" s="414"/>
      <c r="E322" s="414"/>
      <c r="F322" s="414"/>
      <c r="G322" s="413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413"/>
      <c r="W322" s="413"/>
      <c r="X322" s="413"/>
      <c r="Y322" s="413"/>
      <c r="Z322" s="413"/>
    </row>
    <row r="323" ht="12.0" customHeight="1">
      <c r="A323" s="413"/>
      <c r="B323" s="413"/>
      <c r="C323" s="414"/>
      <c r="D323" s="414"/>
      <c r="E323" s="414"/>
      <c r="F323" s="414"/>
      <c r="G323" s="41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413"/>
      <c r="W323" s="413"/>
      <c r="X323" s="413"/>
      <c r="Y323" s="413"/>
      <c r="Z323" s="413"/>
    </row>
    <row r="324" ht="12.0" customHeight="1">
      <c r="A324" s="413"/>
      <c r="B324" s="413"/>
      <c r="C324" s="414"/>
      <c r="D324" s="414"/>
      <c r="E324" s="414"/>
      <c r="F324" s="414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413"/>
      <c r="W324" s="413"/>
      <c r="X324" s="413"/>
      <c r="Y324" s="413"/>
      <c r="Z324" s="413"/>
    </row>
    <row r="325" ht="12.0" customHeight="1">
      <c r="A325" s="413"/>
      <c r="B325" s="413"/>
      <c r="C325" s="414"/>
      <c r="D325" s="414"/>
      <c r="E325" s="414"/>
      <c r="F325" s="414"/>
      <c r="G325" s="413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413"/>
      <c r="W325" s="413"/>
      <c r="X325" s="413"/>
      <c r="Y325" s="413"/>
      <c r="Z325" s="413"/>
    </row>
    <row r="326" ht="12.0" customHeight="1">
      <c r="A326" s="413"/>
      <c r="B326" s="413"/>
      <c r="C326" s="414"/>
      <c r="D326" s="414"/>
      <c r="E326" s="414"/>
      <c r="F326" s="414"/>
      <c r="G326" s="413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413"/>
      <c r="W326" s="413"/>
      <c r="X326" s="413"/>
      <c r="Y326" s="413"/>
      <c r="Z326" s="413"/>
    </row>
    <row r="327" ht="12.0" customHeight="1">
      <c r="A327" s="413"/>
      <c r="B327" s="413"/>
      <c r="C327" s="414"/>
      <c r="D327" s="414"/>
      <c r="E327" s="414"/>
      <c r="F327" s="414"/>
      <c r="G327" s="413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  <c r="T327" s="413"/>
      <c r="U327" s="413"/>
      <c r="V327" s="413"/>
      <c r="W327" s="413"/>
      <c r="X327" s="413"/>
      <c r="Y327" s="413"/>
      <c r="Z327" s="413"/>
    </row>
    <row r="328" ht="12.0" customHeight="1">
      <c r="A328" s="413"/>
      <c r="B328" s="413"/>
      <c r="C328" s="414"/>
      <c r="D328" s="414"/>
      <c r="E328" s="414"/>
      <c r="F328" s="414"/>
      <c r="G328" s="413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  <c r="T328" s="413"/>
      <c r="U328" s="413"/>
      <c r="V328" s="413"/>
      <c r="W328" s="413"/>
      <c r="X328" s="413"/>
      <c r="Y328" s="413"/>
      <c r="Z328" s="413"/>
    </row>
    <row r="329" ht="12.0" customHeight="1">
      <c r="A329" s="413"/>
      <c r="B329" s="413"/>
      <c r="C329" s="414"/>
      <c r="D329" s="414"/>
      <c r="E329" s="414"/>
      <c r="F329" s="414"/>
      <c r="G329" s="413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  <c r="T329" s="413"/>
      <c r="U329" s="413"/>
      <c r="V329" s="413"/>
      <c r="W329" s="413"/>
      <c r="X329" s="413"/>
      <c r="Y329" s="413"/>
      <c r="Z329" s="413"/>
    </row>
    <row r="330" ht="12.0" customHeight="1">
      <c r="A330" s="413"/>
      <c r="B330" s="413"/>
      <c r="C330" s="414"/>
      <c r="D330" s="414"/>
      <c r="E330" s="414"/>
      <c r="F330" s="414"/>
      <c r="G330" s="413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  <c r="W330" s="413"/>
      <c r="X330" s="413"/>
      <c r="Y330" s="413"/>
      <c r="Z330" s="413"/>
    </row>
    <row r="331" ht="12.0" customHeight="1">
      <c r="A331" s="413"/>
      <c r="B331" s="413"/>
      <c r="C331" s="414"/>
      <c r="D331" s="414"/>
      <c r="E331" s="414"/>
      <c r="F331" s="414"/>
      <c r="G331" s="413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</row>
    <row r="332" ht="12.0" customHeight="1">
      <c r="A332" s="413"/>
      <c r="B332" s="413"/>
      <c r="C332" s="414"/>
      <c r="D332" s="414"/>
      <c r="E332" s="414"/>
      <c r="F332" s="414"/>
      <c r="G332" s="413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  <c r="T332" s="413"/>
      <c r="U332" s="413"/>
      <c r="V332" s="413"/>
      <c r="W332" s="413"/>
      <c r="X332" s="413"/>
      <c r="Y332" s="413"/>
      <c r="Z332" s="413"/>
    </row>
    <row r="333" ht="12.0" customHeight="1">
      <c r="A333" s="413"/>
      <c r="B333" s="413"/>
      <c r="C333" s="414"/>
      <c r="D333" s="414"/>
      <c r="E333" s="414"/>
      <c r="F333" s="414"/>
      <c r="G333" s="413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  <c r="T333" s="413"/>
      <c r="U333" s="413"/>
      <c r="V333" s="413"/>
      <c r="W333" s="413"/>
      <c r="X333" s="413"/>
      <c r="Y333" s="413"/>
      <c r="Z333" s="413"/>
    </row>
    <row r="334" ht="12.0" customHeight="1">
      <c r="A334" s="413"/>
      <c r="B334" s="413"/>
      <c r="C334" s="414"/>
      <c r="D334" s="414"/>
      <c r="E334" s="414"/>
      <c r="F334" s="414"/>
      <c r="G334" s="413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  <c r="T334" s="413"/>
      <c r="U334" s="413"/>
      <c r="V334" s="413"/>
      <c r="W334" s="413"/>
      <c r="X334" s="413"/>
      <c r="Y334" s="413"/>
      <c r="Z334" s="413"/>
    </row>
    <row r="335" ht="12.0" customHeight="1">
      <c r="A335" s="413"/>
      <c r="B335" s="413"/>
      <c r="C335" s="414"/>
      <c r="D335" s="414"/>
      <c r="E335" s="414"/>
      <c r="F335" s="414"/>
      <c r="G335" s="413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  <c r="T335" s="413"/>
      <c r="U335" s="413"/>
      <c r="V335" s="413"/>
      <c r="W335" s="413"/>
      <c r="X335" s="413"/>
      <c r="Y335" s="413"/>
      <c r="Z335" s="413"/>
    </row>
    <row r="336" ht="12.0" customHeight="1">
      <c r="A336" s="413"/>
      <c r="B336" s="413"/>
      <c r="C336" s="414"/>
      <c r="D336" s="414"/>
      <c r="E336" s="414"/>
      <c r="F336" s="414"/>
      <c r="G336" s="413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  <c r="T336" s="413"/>
      <c r="U336" s="413"/>
      <c r="V336" s="413"/>
      <c r="W336" s="413"/>
      <c r="X336" s="413"/>
      <c r="Y336" s="413"/>
      <c r="Z336" s="413"/>
    </row>
    <row r="337" ht="12.0" customHeight="1">
      <c r="A337" s="413"/>
      <c r="B337" s="413"/>
      <c r="C337" s="414"/>
      <c r="D337" s="414"/>
      <c r="E337" s="414"/>
      <c r="F337" s="414"/>
      <c r="G337" s="413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  <c r="T337" s="413"/>
      <c r="U337" s="413"/>
      <c r="V337" s="413"/>
      <c r="W337" s="413"/>
      <c r="X337" s="413"/>
      <c r="Y337" s="413"/>
      <c r="Z337" s="413"/>
    </row>
    <row r="338" ht="12.0" customHeight="1">
      <c r="A338" s="413"/>
      <c r="B338" s="413"/>
      <c r="C338" s="414"/>
      <c r="D338" s="414"/>
      <c r="E338" s="414"/>
      <c r="F338" s="414"/>
      <c r="G338" s="413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</row>
    <row r="339" ht="12.0" customHeight="1">
      <c r="A339" s="413"/>
      <c r="B339" s="413"/>
      <c r="C339" s="414"/>
      <c r="D339" s="414"/>
      <c r="E339" s="414"/>
      <c r="F339" s="414"/>
      <c r="G339" s="413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  <c r="T339" s="413"/>
      <c r="U339" s="413"/>
      <c r="V339" s="413"/>
      <c r="W339" s="413"/>
      <c r="X339" s="413"/>
      <c r="Y339" s="413"/>
      <c r="Z339" s="413"/>
    </row>
    <row r="340" ht="12.0" customHeight="1">
      <c r="A340" s="413"/>
      <c r="B340" s="413"/>
      <c r="C340" s="414"/>
      <c r="D340" s="414"/>
      <c r="E340" s="414"/>
      <c r="F340" s="414"/>
      <c r="G340" s="413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  <c r="T340" s="413"/>
      <c r="U340" s="413"/>
      <c r="V340" s="413"/>
      <c r="W340" s="413"/>
      <c r="X340" s="413"/>
      <c r="Y340" s="413"/>
      <c r="Z340" s="413"/>
    </row>
    <row r="341" ht="12.0" customHeight="1">
      <c r="A341" s="413"/>
      <c r="B341" s="413"/>
      <c r="C341" s="414"/>
      <c r="D341" s="414"/>
      <c r="E341" s="414"/>
      <c r="F341" s="414"/>
      <c r="G341" s="413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  <c r="T341" s="413"/>
      <c r="U341" s="413"/>
      <c r="V341" s="413"/>
      <c r="W341" s="413"/>
      <c r="X341" s="413"/>
      <c r="Y341" s="413"/>
      <c r="Z341" s="413"/>
    </row>
    <row r="342" ht="12.0" customHeight="1">
      <c r="A342" s="413"/>
      <c r="B342" s="413"/>
      <c r="C342" s="414"/>
      <c r="D342" s="414"/>
      <c r="E342" s="414"/>
      <c r="F342" s="414"/>
      <c r="G342" s="413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</row>
    <row r="343" ht="12.0" customHeight="1">
      <c r="A343" s="413"/>
      <c r="B343" s="413"/>
      <c r="C343" s="414"/>
      <c r="D343" s="414"/>
      <c r="E343" s="414"/>
      <c r="F343" s="414"/>
      <c r="G343" s="413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  <c r="T343" s="413"/>
      <c r="U343" s="413"/>
      <c r="V343" s="413"/>
      <c r="W343" s="413"/>
      <c r="X343" s="413"/>
      <c r="Y343" s="413"/>
      <c r="Z343" s="413"/>
    </row>
    <row r="344" ht="12.0" customHeight="1">
      <c r="A344" s="413"/>
      <c r="B344" s="413"/>
      <c r="C344" s="414"/>
      <c r="D344" s="414"/>
      <c r="E344" s="414"/>
      <c r="F344" s="414"/>
      <c r="G344" s="413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  <c r="T344" s="413"/>
      <c r="U344" s="413"/>
      <c r="V344" s="413"/>
      <c r="W344" s="413"/>
      <c r="X344" s="413"/>
      <c r="Y344" s="413"/>
      <c r="Z344" s="413"/>
    </row>
    <row r="345" ht="12.0" customHeight="1">
      <c r="A345" s="413"/>
      <c r="B345" s="413"/>
      <c r="C345" s="414"/>
      <c r="D345" s="414"/>
      <c r="E345" s="414"/>
      <c r="F345" s="414"/>
      <c r="G345" s="413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  <c r="T345" s="413"/>
      <c r="U345" s="413"/>
      <c r="V345" s="413"/>
      <c r="W345" s="413"/>
      <c r="X345" s="413"/>
      <c r="Y345" s="413"/>
      <c r="Z345" s="413"/>
    </row>
    <row r="346" ht="12.0" customHeight="1">
      <c r="A346" s="413"/>
      <c r="B346" s="413"/>
      <c r="C346" s="414"/>
      <c r="D346" s="414"/>
      <c r="E346" s="414"/>
      <c r="F346" s="414"/>
      <c r="G346" s="413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  <c r="T346" s="413"/>
      <c r="U346" s="413"/>
      <c r="V346" s="413"/>
      <c r="W346" s="413"/>
      <c r="X346" s="413"/>
      <c r="Y346" s="413"/>
      <c r="Z346" s="413"/>
    </row>
    <row r="347" ht="12.0" customHeight="1">
      <c r="A347" s="413"/>
      <c r="B347" s="413"/>
      <c r="C347" s="414"/>
      <c r="D347" s="414"/>
      <c r="E347" s="414"/>
      <c r="F347" s="414"/>
      <c r="G347" s="413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  <c r="T347" s="413"/>
      <c r="U347" s="413"/>
      <c r="V347" s="413"/>
      <c r="W347" s="413"/>
      <c r="X347" s="413"/>
      <c r="Y347" s="413"/>
      <c r="Z347" s="413"/>
    </row>
    <row r="348" ht="12.0" customHeight="1">
      <c r="A348" s="413"/>
      <c r="B348" s="413"/>
      <c r="C348" s="414"/>
      <c r="D348" s="414"/>
      <c r="E348" s="414"/>
      <c r="F348" s="414"/>
      <c r="G348" s="413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  <c r="T348" s="413"/>
      <c r="U348" s="413"/>
      <c r="V348" s="413"/>
      <c r="W348" s="413"/>
      <c r="X348" s="413"/>
      <c r="Y348" s="413"/>
      <c r="Z348" s="413"/>
    </row>
    <row r="349" ht="12.0" customHeight="1">
      <c r="A349" s="413"/>
      <c r="B349" s="413"/>
      <c r="C349" s="414"/>
      <c r="D349" s="414"/>
      <c r="E349" s="414"/>
      <c r="F349" s="414"/>
      <c r="G349" s="413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  <c r="T349" s="413"/>
      <c r="U349" s="413"/>
      <c r="V349" s="413"/>
      <c r="W349" s="413"/>
      <c r="X349" s="413"/>
      <c r="Y349" s="413"/>
      <c r="Z349" s="413"/>
    </row>
    <row r="350" ht="12.0" customHeight="1">
      <c r="A350" s="413"/>
      <c r="B350" s="413"/>
      <c r="C350" s="414"/>
      <c r="D350" s="414"/>
      <c r="E350" s="414"/>
      <c r="F350" s="414"/>
      <c r="G350" s="413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  <c r="T350" s="413"/>
      <c r="U350" s="413"/>
      <c r="V350" s="413"/>
      <c r="W350" s="413"/>
      <c r="X350" s="413"/>
      <c r="Y350" s="413"/>
      <c r="Z350" s="413"/>
    </row>
    <row r="351" ht="12.0" customHeight="1">
      <c r="A351" s="413"/>
      <c r="B351" s="413"/>
      <c r="C351" s="414"/>
      <c r="D351" s="414"/>
      <c r="E351" s="414"/>
      <c r="F351" s="414"/>
      <c r="G351" s="413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</row>
    <row r="352" ht="12.0" customHeight="1">
      <c r="A352" s="413"/>
      <c r="B352" s="413"/>
      <c r="C352" s="414"/>
      <c r="D352" s="414"/>
      <c r="E352" s="414"/>
      <c r="F352" s="414"/>
      <c r="G352" s="413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  <c r="T352" s="413"/>
      <c r="U352" s="413"/>
      <c r="V352" s="413"/>
      <c r="W352" s="413"/>
      <c r="X352" s="413"/>
      <c r="Y352" s="413"/>
      <c r="Z352" s="413"/>
    </row>
    <row r="353" ht="12.0" customHeight="1">
      <c r="A353" s="413"/>
      <c r="B353" s="413"/>
      <c r="C353" s="414"/>
      <c r="D353" s="414"/>
      <c r="E353" s="414"/>
      <c r="F353" s="414"/>
      <c r="G353" s="413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  <c r="T353" s="413"/>
      <c r="U353" s="413"/>
      <c r="V353" s="413"/>
      <c r="W353" s="413"/>
      <c r="X353" s="413"/>
      <c r="Y353" s="413"/>
      <c r="Z353" s="413"/>
    </row>
    <row r="354" ht="12.0" customHeight="1">
      <c r="A354" s="413"/>
      <c r="B354" s="413"/>
      <c r="C354" s="414"/>
      <c r="D354" s="414"/>
      <c r="E354" s="414"/>
      <c r="F354" s="414"/>
      <c r="G354" s="413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  <c r="T354" s="413"/>
      <c r="U354" s="413"/>
      <c r="V354" s="413"/>
      <c r="W354" s="413"/>
      <c r="X354" s="413"/>
      <c r="Y354" s="413"/>
      <c r="Z354" s="413"/>
    </row>
    <row r="355" ht="12.0" customHeight="1">
      <c r="A355" s="413"/>
      <c r="B355" s="413"/>
      <c r="C355" s="414"/>
      <c r="D355" s="414"/>
      <c r="E355" s="414"/>
      <c r="F355" s="414"/>
      <c r="G355" s="413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  <c r="T355" s="413"/>
      <c r="U355" s="413"/>
      <c r="V355" s="413"/>
      <c r="W355" s="413"/>
      <c r="X355" s="413"/>
      <c r="Y355" s="413"/>
      <c r="Z355" s="413"/>
    </row>
    <row r="356" ht="12.0" customHeight="1">
      <c r="A356" s="413"/>
      <c r="B356" s="413"/>
      <c r="C356" s="414"/>
      <c r="D356" s="414"/>
      <c r="E356" s="414"/>
      <c r="F356" s="414"/>
      <c r="G356" s="413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  <c r="T356" s="413"/>
      <c r="U356" s="413"/>
      <c r="V356" s="413"/>
      <c r="W356" s="413"/>
      <c r="X356" s="413"/>
      <c r="Y356" s="413"/>
      <c r="Z356" s="413"/>
    </row>
    <row r="357" ht="12.0" customHeight="1">
      <c r="A357" s="413"/>
      <c r="B357" s="413"/>
      <c r="C357" s="414"/>
      <c r="D357" s="414"/>
      <c r="E357" s="414"/>
      <c r="F357" s="414"/>
      <c r="G357" s="413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  <c r="T357" s="413"/>
      <c r="U357" s="413"/>
      <c r="V357" s="413"/>
      <c r="W357" s="413"/>
      <c r="X357" s="413"/>
      <c r="Y357" s="413"/>
      <c r="Z357" s="413"/>
    </row>
    <row r="358" ht="12.0" customHeight="1">
      <c r="A358" s="413"/>
      <c r="B358" s="413"/>
      <c r="C358" s="414"/>
      <c r="D358" s="414"/>
      <c r="E358" s="414"/>
      <c r="F358" s="414"/>
      <c r="G358" s="413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  <c r="T358" s="413"/>
      <c r="U358" s="413"/>
      <c r="V358" s="413"/>
      <c r="W358" s="413"/>
      <c r="X358" s="413"/>
      <c r="Y358" s="413"/>
      <c r="Z358" s="413"/>
    </row>
    <row r="359" ht="12.0" customHeight="1">
      <c r="A359" s="413"/>
      <c r="B359" s="413"/>
      <c r="C359" s="414"/>
      <c r="D359" s="414"/>
      <c r="E359" s="414"/>
      <c r="F359" s="414"/>
      <c r="G359" s="413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  <c r="T359" s="413"/>
      <c r="U359" s="413"/>
      <c r="V359" s="413"/>
      <c r="W359" s="413"/>
      <c r="X359" s="413"/>
      <c r="Y359" s="413"/>
      <c r="Z359" s="413"/>
    </row>
    <row r="360" ht="12.0" customHeight="1">
      <c r="A360" s="413"/>
      <c r="B360" s="413"/>
      <c r="C360" s="414"/>
      <c r="D360" s="414"/>
      <c r="E360" s="414"/>
      <c r="F360" s="414"/>
      <c r="G360" s="413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  <c r="T360" s="413"/>
      <c r="U360" s="413"/>
      <c r="V360" s="413"/>
      <c r="W360" s="413"/>
      <c r="X360" s="413"/>
      <c r="Y360" s="413"/>
      <c r="Z360" s="413"/>
    </row>
    <row r="361" ht="12.0" customHeight="1">
      <c r="A361" s="413"/>
      <c r="B361" s="413"/>
      <c r="C361" s="414"/>
      <c r="D361" s="414"/>
      <c r="E361" s="414"/>
      <c r="F361" s="414"/>
      <c r="G361" s="413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  <c r="T361" s="413"/>
      <c r="U361" s="413"/>
      <c r="V361" s="413"/>
      <c r="W361" s="413"/>
      <c r="X361" s="413"/>
      <c r="Y361" s="413"/>
      <c r="Z361" s="413"/>
    </row>
    <row r="362" ht="12.0" customHeight="1">
      <c r="A362" s="413"/>
      <c r="B362" s="413"/>
      <c r="C362" s="414"/>
      <c r="D362" s="414"/>
      <c r="E362" s="414"/>
      <c r="F362" s="414"/>
      <c r="G362" s="413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  <c r="T362" s="413"/>
      <c r="U362" s="413"/>
      <c r="V362" s="413"/>
      <c r="W362" s="413"/>
      <c r="X362" s="413"/>
      <c r="Y362" s="413"/>
      <c r="Z362" s="413"/>
    </row>
    <row r="363" ht="12.0" customHeight="1">
      <c r="A363" s="413"/>
      <c r="B363" s="413"/>
      <c r="C363" s="414"/>
      <c r="D363" s="414"/>
      <c r="E363" s="414"/>
      <c r="F363" s="414"/>
      <c r="G363" s="413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  <c r="T363" s="413"/>
      <c r="U363" s="413"/>
      <c r="V363" s="413"/>
      <c r="W363" s="413"/>
      <c r="X363" s="413"/>
      <c r="Y363" s="413"/>
      <c r="Z363" s="413"/>
    </row>
    <row r="364" ht="12.0" customHeight="1">
      <c r="A364" s="413"/>
      <c r="B364" s="413"/>
      <c r="C364" s="414"/>
      <c r="D364" s="414"/>
      <c r="E364" s="414"/>
      <c r="F364" s="414"/>
      <c r="G364" s="413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  <c r="T364" s="413"/>
      <c r="U364" s="413"/>
      <c r="V364" s="413"/>
      <c r="W364" s="413"/>
      <c r="X364" s="413"/>
      <c r="Y364" s="413"/>
      <c r="Z364" s="413"/>
    </row>
    <row r="365" ht="12.0" customHeight="1">
      <c r="A365" s="413"/>
      <c r="B365" s="413"/>
      <c r="C365" s="414"/>
      <c r="D365" s="414"/>
      <c r="E365" s="414"/>
      <c r="F365" s="414"/>
      <c r="G365" s="413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  <c r="T365" s="413"/>
      <c r="U365" s="413"/>
      <c r="V365" s="413"/>
      <c r="W365" s="413"/>
      <c r="X365" s="413"/>
      <c r="Y365" s="413"/>
      <c r="Z365" s="413"/>
    </row>
    <row r="366" ht="12.0" customHeight="1">
      <c r="A366" s="413"/>
      <c r="B366" s="413"/>
      <c r="C366" s="414"/>
      <c r="D366" s="414"/>
      <c r="E366" s="414"/>
      <c r="F366" s="414"/>
      <c r="G366" s="413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  <c r="T366" s="413"/>
      <c r="U366" s="413"/>
      <c r="V366" s="413"/>
      <c r="W366" s="413"/>
      <c r="X366" s="413"/>
      <c r="Y366" s="413"/>
      <c r="Z366" s="413"/>
    </row>
    <row r="367" ht="12.0" customHeight="1">
      <c r="A367" s="413"/>
      <c r="B367" s="413"/>
      <c r="C367" s="414"/>
      <c r="D367" s="414"/>
      <c r="E367" s="414"/>
      <c r="F367" s="414"/>
      <c r="G367" s="413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  <c r="T367" s="413"/>
      <c r="U367" s="413"/>
      <c r="V367" s="413"/>
      <c r="W367" s="413"/>
      <c r="X367" s="413"/>
      <c r="Y367" s="413"/>
      <c r="Z367" s="413"/>
    </row>
    <row r="368" ht="12.0" customHeight="1">
      <c r="A368" s="413"/>
      <c r="B368" s="413"/>
      <c r="C368" s="414"/>
      <c r="D368" s="414"/>
      <c r="E368" s="414"/>
      <c r="F368" s="414"/>
      <c r="G368" s="413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  <c r="T368" s="413"/>
      <c r="U368" s="413"/>
      <c r="V368" s="413"/>
      <c r="W368" s="413"/>
      <c r="X368" s="413"/>
      <c r="Y368" s="413"/>
      <c r="Z368" s="413"/>
    </row>
    <row r="369" ht="12.0" customHeight="1">
      <c r="A369" s="413"/>
      <c r="B369" s="413"/>
      <c r="C369" s="414"/>
      <c r="D369" s="414"/>
      <c r="E369" s="414"/>
      <c r="F369" s="414"/>
      <c r="G369" s="413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  <c r="T369" s="413"/>
      <c r="U369" s="413"/>
      <c r="V369" s="413"/>
      <c r="W369" s="413"/>
      <c r="X369" s="413"/>
      <c r="Y369" s="413"/>
      <c r="Z369" s="413"/>
    </row>
    <row r="370" ht="12.0" customHeight="1">
      <c r="A370" s="413"/>
      <c r="B370" s="413"/>
      <c r="C370" s="414"/>
      <c r="D370" s="414"/>
      <c r="E370" s="414"/>
      <c r="F370" s="414"/>
      <c r="G370" s="413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  <c r="T370" s="413"/>
      <c r="U370" s="413"/>
      <c r="V370" s="413"/>
      <c r="W370" s="413"/>
      <c r="X370" s="413"/>
      <c r="Y370" s="413"/>
      <c r="Z370" s="413"/>
    </row>
    <row r="371" ht="12.0" customHeight="1">
      <c r="A371" s="413"/>
      <c r="B371" s="413"/>
      <c r="C371" s="414"/>
      <c r="D371" s="414"/>
      <c r="E371" s="414"/>
      <c r="F371" s="414"/>
      <c r="G371" s="413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  <c r="T371" s="413"/>
      <c r="U371" s="413"/>
      <c r="V371" s="413"/>
      <c r="W371" s="413"/>
      <c r="X371" s="413"/>
      <c r="Y371" s="413"/>
      <c r="Z371" s="413"/>
    </row>
    <row r="372" ht="12.0" customHeight="1">
      <c r="A372" s="413"/>
      <c r="B372" s="413"/>
      <c r="C372" s="414"/>
      <c r="D372" s="414"/>
      <c r="E372" s="414"/>
      <c r="F372" s="414"/>
      <c r="G372" s="413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  <c r="T372" s="413"/>
      <c r="U372" s="413"/>
      <c r="V372" s="413"/>
      <c r="W372" s="413"/>
      <c r="X372" s="413"/>
      <c r="Y372" s="413"/>
      <c r="Z372" s="413"/>
    </row>
    <row r="373" ht="12.0" customHeight="1">
      <c r="A373" s="413"/>
      <c r="B373" s="413"/>
      <c r="C373" s="414"/>
      <c r="D373" s="414"/>
      <c r="E373" s="414"/>
      <c r="F373" s="414"/>
      <c r="G373" s="413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  <c r="T373" s="413"/>
      <c r="U373" s="413"/>
      <c r="V373" s="413"/>
      <c r="W373" s="413"/>
      <c r="X373" s="413"/>
      <c r="Y373" s="413"/>
      <c r="Z373" s="413"/>
    </row>
    <row r="374" ht="12.0" customHeight="1">
      <c r="A374" s="413"/>
      <c r="B374" s="413"/>
      <c r="C374" s="414"/>
      <c r="D374" s="414"/>
      <c r="E374" s="414"/>
      <c r="F374" s="414"/>
      <c r="G374" s="413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  <c r="T374" s="413"/>
      <c r="U374" s="413"/>
      <c r="V374" s="413"/>
      <c r="W374" s="413"/>
      <c r="X374" s="413"/>
      <c r="Y374" s="413"/>
      <c r="Z374" s="413"/>
    </row>
    <row r="375" ht="12.0" customHeight="1">
      <c r="A375" s="413"/>
      <c r="B375" s="413"/>
      <c r="C375" s="414"/>
      <c r="D375" s="414"/>
      <c r="E375" s="414"/>
      <c r="F375" s="414"/>
      <c r="G375" s="413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  <c r="T375" s="413"/>
      <c r="U375" s="413"/>
      <c r="V375" s="413"/>
      <c r="W375" s="413"/>
      <c r="X375" s="413"/>
      <c r="Y375" s="413"/>
      <c r="Z375" s="413"/>
    </row>
    <row r="376" ht="12.0" customHeight="1">
      <c r="A376" s="413"/>
      <c r="B376" s="413"/>
      <c r="C376" s="414"/>
      <c r="D376" s="414"/>
      <c r="E376" s="414"/>
      <c r="F376" s="414"/>
      <c r="G376" s="413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  <c r="T376" s="413"/>
      <c r="U376" s="413"/>
      <c r="V376" s="413"/>
      <c r="W376" s="413"/>
      <c r="X376" s="413"/>
      <c r="Y376" s="413"/>
      <c r="Z376" s="413"/>
    </row>
    <row r="377" ht="12.0" customHeight="1">
      <c r="A377" s="413"/>
      <c r="B377" s="413"/>
      <c r="C377" s="414"/>
      <c r="D377" s="414"/>
      <c r="E377" s="414"/>
      <c r="F377" s="414"/>
      <c r="G377" s="413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  <c r="T377" s="413"/>
      <c r="U377" s="413"/>
      <c r="V377" s="413"/>
      <c r="W377" s="413"/>
      <c r="X377" s="413"/>
      <c r="Y377" s="413"/>
      <c r="Z377" s="413"/>
    </row>
    <row r="378" ht="12.0" customHeight="1">
      <c r="A378" s="413"/>
      <c r="B378" s="413"/>
      <c r="C378" s="414"/>
      <c r="D378" s="414"/>
      <c r="E378" s="414"/>
      <c r="F378" s="414"/>
      <c r="G378" s="413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  <c r="T378" s="413"/>
      <c r="U378" s="413"/>
      <c r="V378" s="413"/>
      <c r="W378" s="413"/>
      <c r="X378" s="413"/>
      <c r="Y378" s="413"/>
      <c r="Z378" s="413"/>
    </row>
    <row r="379" ht="12.0" customHeight="1">
      <c r="A379" s="413"/>
      <c r="B379" s="413"/>
      <c r="C379" s="414"/>
      <c r="D379" s="414"/>
      <c r="E379" s="414"/>
      <c r="F379" s="414"/>
      <c r="G379" s="413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  <c r="T379" s="413"/>
      <c r="U379" s="413"/>
      <c r="V379" s="413"/>
      <c r="W379" s="413"/>
      <c r="X379" s="413"/>
      <c r="Y379" s="413"/>
      <c r="Z379" s="413"/>
    </row>
    <row r="380" ht="12.0" customHeight="1">
      <c r="A380" s="413"/>
      <c r="B380" s="413"/>
      <c r="C380" s="414"/>
      <c r="D380" s="414"/>
      <c r="E380" s="414"/>
      <c r="F380" s="414"/>
      <c r="G380" s="413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  <c r="T380" s="413"/>
      <c r="U380" s="413"/>
      <c r="V380" s="413"/>
      <c r="W380" s="413"/>
      <c r="X380" s="413"/>
      <c r="Y380" s="413"/>
      <c r="Z380" s="413"/>
    </row>
    <row r="381" ht="12.0" customHeight="1">
      <c r="A381" s="413"/>
      <c r="B381" s="413"/>
      <c r="C381" s="414"/>
      <c r="D381" s="414"/>
      <c r="E381" s="414"/>
      <c r="F381" s="414"/>
      <c r="G381" s="413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  <c r="T381" s="413"/>
      <c r="U381" s="413"/>
      <c r="V381" s="413"/>
      <c r="W381" s="413"/>
      <c r="X381" s="413"/>
      <c r="Y381" s="413"/>
      <c r="Z381" s="413"/>
    </row>
    <row r="382" ht="12.0" customHeight="1">
      <c r="A382" s="413"/>
      <c r="B382" s="413"/>
      <c r="C382" s="414"/>
      <c r="D382" s="414"/>
      <c r="E382" s="414"/>
      <c r="F382" s="414"/>
      <c r="G382" s="413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  <c r="T382" s="413"/>
      <c r="U382" s="413"/>
      <c r="V382" s="413"/>
      <c r="W382" s="413"/>
      <c r="X382" s="413"/>
      <c r="Y382" s="413"/>
      <c r="Z382" s="413"/>
    </row>
    <row r="383" ht="12.0" customHeight="1">
      <c r="A383" s="413"/>
      <c r="B383" s="413"/>
      <c r="C383" s="414"/>
      <c r="D383" s="414"/>
      <c r="E383" s="414"/>
      <c r="F383" s="414"/>
      <c r="G383" s="413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  <c r="T383" s="413"/>
      <c r="U383" s="413"/>
      <c r="V383" s="413"/>
      <c r="W383" s="413"/>
      <c r="X383" s="413"/>
      <c r="Y383" s="413"/>
      <c r="Z383" s="413"/>
    </row>
    <row r="384" ht="12.0" customHeight="1">
      <c r="A384" s="413"/>
      <c r="B384" s="413"/>
      <c r="C384" s="414"/>
      <c r="D384" s="414"/>
      <c r="E384" s="414"/>
      <c r="F384" s="414"/>
      <c r="G384" s="413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  <c r="T384" s="413"/>
      <c r="U384" s="413"/>
      <c r="V384" s="413"/>
      <c r="W384" s="413"/>
      <c r="X384" s="413"/>
      <c r="Y384" s="413"/>
      <c r="Z384" s="413"/>
    </row>
    <row r="385" ht="12.0" customHeight="1">
      <c r="A385" s="413"/>
      <c r="B385" s="413"/>
      <c r="C385" s="414"/>
      <c r="D385" s="414"/>
      <c r="E385" s="414"/>
      <c r="F385" s="414"/>
      <c r="G385" s="413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  <c r="T385" s="413"/>
      <c r="U385" s="413"/>
      <c r="V385" s="413"/>
      <c r="W385" s="413"/>
      <c r="X385" s="413"/>
      <c r="Y385" s="413"/>
      <c r="Z385" s="413"/>
    </row>
    <row r="386" ht="12.0" customHeight="1">
      <c r="A386" s="413"/>
      <c r="B386" s="413"/>
      <c r="C386" s="414"/>
      <c r="D386" s="414"/>
      <c r="E386" s="414"/>
      <c r="F386" s="414"/>
      <c r="G386" s="413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  <c r="T386" s="413"/>
      <c r="U386" s="413"/>
      <c r="V386" s="413"/>
      <c r="W386" s="413"/>
      <c r="X386" s="413"/>
      <c r="Y386" s="413"/>
      <c r="Z386" s="413"/>
    </row>
    <row r="387" ht="12.0" customHeight="1">
      <c r="A387" s="413"/>
      <c r="B387" s="413"/>
      <c r="C387" s="414"/>
      <c r="D387" s="414"/>
      <c r="E387" s="414"/>
      <c r="F387" s="414"/>
      <c r="G387" s="413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</row>
    <row r="388" ht="12.0" customHeight="1">
      <c r="A388" s="413"/>
      <c r="B388" s="413"/>
      <c r="C388" s="414"/>
      <c r="D388" s="414"/>
      <c r="E388" s="414"/>
      <c r="F388" s="414"/>
      <c r="G388" s="413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</row>
    <row r="389" ht="12.0" customHeight="1">
      <c r="A389" s="413"/>
      <c r="B389" s="413"/>
      <c r="C389" s="414"/>
      <c r="D389" s="414"/>
      <c r="E389" s="414"/>
      <c r="F389" s="414"/>
      <c r="G389" s="413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</row>
    <row r="390" ht="12.0" customHeight="1">
      <c r="A390" s="413"/>
      <c r="B390" s="413"/>
      <c r="C390" s="414"/>
      <c r="D390" s="414"/>
      <c r="E390" s="414"/>
      <c r="F390" s="414"/>
      <c r="G390" s="413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</row>
    <row r="391" ht="12.0" customHeight="1">
      <c r="A391" s="413"/>
      <c r="B391" s="413"/>
      <c r="C391" s="414"/>
      <c r="D391" s="414"/>
      <c r="E391" s="414"/>
      <c r="F391" s="414"/>
      <c r="G391" s="413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  <c r="T391" s="413"/>
      <c r="U391" s="413"/>
      <c r="V391" s="413"/>
      <c r="W391" s="413"/>
      <c r="X391" s="413"/>
      <c r="Y391" s="413"/>
      <c r="Z391" s="413"/>
    </row>
    <row r="392" ht="12.0" customHeight="1">
      <c r="A392" s="413"/>
      <c r="B392" s="413"/>
      <c r="C392" s="414"/>
      <c r="D392" s="414"/>
      <c r="E392" s="414"/>
      <c r="F392" s="414"/>
      <c r="G392" s="413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  <c r="T392" s="413"/>
      <c r="U392" s="413"/>
      <c r="V392" s="413"/>
      <c r="W392" s="413"/>
      <c r="X392" s="413"/>
      <c r="Y392" s="413"/>
      <c r="Z392" s="413"/>
    </row>
    <row r="393" ht="12.0" customHeight="1">
      <c r="A393" s="413"/>
      <c r="B393" s="413"/>
      <c r="C393" s="414"/>
      <c r="D393" s="414"/>
      <c r="E393" s="414"/>
      <c r="F393" s="414"/>
      <c r="G393" s="413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  <c r="T393" s="413"/>
      <c r="U393" s="413"/>
      <c r="V393" s="413"/>
      <c r="W393" s="413"/>
      <c r="X393" s="413"/>
      <c r="Y393" s="413"/>
      <c r="Z393" s="413"/>
    </row>
    <row r="394" ht="12.0" customHeight="1">
      <c r="A394" s="413"/>
      <c r="B394" s="413"/>
      <c r="C394" s="414"/>
      <c r="D394" s="414"/>
      <c r="E394" s="414"/>
      <c r="F394" s="414"/>
      <c r="G394" s="413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  <c r="T394" s="413"/>
      <c r="U394" s="413"/>
      <c r="V394" s="413"/>
      <c r="W394" s="413"/>
      <c r="X394" s="413"/>
      <c r="Y394" s="413"/>
      <c r="Z394" s="413"/>
    </row>
    <row r="395" ht="12.0" customHeight="1">
      <c r="A395" s="413"/>
      <c r="B395" s="413"/>
      <c r="C395" s="414"/>
      <c r="D395" s="414"/>
      <c r="E395" s="414"/>
      <c r="F395" s="414"/>
      <c r="G395" s="413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  <c r="T395" s="413"/>
      <c r="U395" s="413"/>
      <c r="V395" s="413"/>
      <c r="W395" s="413"/>
      <c r="X395" s="413"/>
      <c r="Y395" s="413"/>
      <c r="Z395" s="413"/>
    </row>
    <row r="396" ht="12.0" customHeight="1">
      <c r="A396" s="413"/>
      <c r="B396" s="413"/>
      <c r="C396" s="414"/>
      <c r="D396" s="414"/>
      <c r="E396" s="414"/>
      <c r="F396" s="414"/>
      <c r="G396" s="413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  <c r="T396" s="413"/>
      <c r="U396" s="413"/>
      <c r="V396" s="413"/>
      <c r="W396" s="413"/>
      <c r="X396" s="413"/>
      <c r="Y396" s="413"/>
      <c r="Z396" s="413"/>
    </row>
    <row r="397" ht="12.0" customHeight="1">
      <c r="A397" s="413"/>
      <c r="B397" s="413"/>
      <c r="C397" s="414"/>
      <c r="D397" s="414"/>
      <c r="E397" s="414"/>
      <c r="F397" s="414"/>
      <c r="G397" s="413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  <c r="T397" s="413"/>
      <c r="U397" s="413"/>
      <c r="V397" s="413"/>
      <c r="W397" s="413"/>
      <c r="X397" s="413"/>
      <c r="Y397" s="413"/>
      <c r="Z397" s="413"/>
    </row>
    <row r="398" ht="12.0" customHeight="1">
      <c r="A398" s="413"/>
      <c r="B398" s="413"/>
      <c r="C398" s="414"/>
      <c r="D398" s="414"/>
      <c r="E398" s="414"/>
      <c r="F398" s="414"/>
      <c r="G398" s="413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  <c r="T398" s="413"/>
      <c r="U398" s="413"/>
      <c r="V398" s="413"/>
      <c r="W398" s="413"/>
      <c r="X398" s="413"/>
      <c r="Y398" s="413"/>
      <c r="Z398" s="413"/>
    </row>
    <row r="399" ht="12.0" customHeight="1">
      <c r="A399" s="413"/>
      <c r="B399" s="413"/>
      <c r="C399" s="414"/>
      <c r="D399" s="414"/>
      <c r="E399" s="414"/>
      <c r="F399" s="414"/>
      <c r="G399" s="413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  <c r="T399" s="413"/>
      <c r="U399" s="413"/>
      <c r="V399" s="413"/>
      <c r="W399" s="413"/>
      <c r="X399" s="413"/>
      <c r="Y399" s="413"/>
      <c r="Z399" s="413"/>
    </row>
    <row r="400" ht="12.0" customHeight="1">
      <c r="A400" s="413"/>
      <c r="B400" s="413"/>
      <c r="C400" s="414"/>
      <c r="D400" s="414"/>
      <c r="E400" s="414"/>
      <c r="F400" s="414"/>
      <c r="G400" s="413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  <c r="T400" s="413"/>
      <c r="U400" s="413"/>
      <c r="V400" s="413"/>
      <c r="W400" s="413"/>
      <c r="X400" s="413"/>
      <c r="Y400" s="413"/>
      <c r="Z400" s="413"/>
    </row>
    <row r="401" ht="12.0" customHeight="1">
      <c r="A401" s="413"/>
      <c r="B401" s="413"/>
      <c r="C401" s="414"/>
      <c r="D401" s="414"/>
      <c r="E401" s="414"/>
      <c r="F401" s="414"/>
      <c r="G401" s="413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  <c r="T401" s="413"/>
      <c r="U401" s="413"/>
      <c r="V401" s="413"/>
      <c r="W401" s="413"/>
      <c r="X401" s="413"/>
      <c r="Y401" s="413"/>
      <c r="Z401" s="413"/>
    </row>
    <row r="402" ht="12.0" customHeight="1">
      <c r="A402" s="413"/>
      <c r="B402" s="413"/>
      <c r="C402" s="414"/>
      <c r="D402" s="414"/>
      <c r="E402" s="414"/>
      <c r="F402" s="414"/>
      <c r="G402" s="413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  <c r="T402" s="413"/>
      <c r="U402" s="413"/>
      <c r="V402" s="413"/>
      <c r="W402" s="413"/>
      <c r="X402" s="413"/>
      <c r="Y402" s="413"/>
      <c r="Z402" s="413"/>
    </row>
    <row r="403" ht="12.0" customHeight="1">
      <c r="A403" s="413"/>
      <c r="B403" s="413"/>
      <c r="C403" s="414"/>
      <c r="D403" s="414"/>
      <c r="E403" s="414"/>
      <c r="F403" s="414"/>
      <c r="G403" s="413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  <c r="T403" s="413"/>
      <c r="U403" s="413"/>
      <c r="V403" s="413"/>
      <c r="W403" s="413"/>
      <c r="X403" s="413"/>
      <c r="Y403" s="413"/>
      <c r="Z403" s="413"/>
    </row>
    <row r="404" ht="12.0" customHeight="1">
      <c r="A404" s="413"/>
      <c r="B404" s="413"/>
      <c r="C404" s="414"/>
      <c r="D404" s="414"/>
      <c r="E404" s="414"/>
      <c r="F404" s="414"/>
      <c r="G404" s="413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  <c r="T404" s="413"/>
      <c r="U404" s="413"/>
      <c r="V404" s="413"/>
      <c r="W404" s="413"/>
      <c r="X404" s="413"/>
      <c r="Y404" s="413"/>
      <c r="Z404" s="413"/>
    </row>
    <row r="405" ht="12.0" customHeight="1">
      <c r="A405" s="413"/>
      <c r="B405" s="413"/>
      <c r="C405" s="414"/>
      <c r="D405" s="414"/>
      <c r="E405" s="414"/>
      <c r="F405" s="414"/>
      <c r="G405" s="413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  <c r="T405" s="413"/>
      <c r="U405" s="413"/>
      <c r="V405" s="413"/>
      <c r="W405" s="413"/>
      <c r="X405" s="413"/>
      <c r="Y405" s="413"/>
      <c r="Z405" s="413"/>
    </row>
    <row r="406" ht="12.0" customHeight="1">
      <c r="A406" s="413"/>
      <c r="B406" s="413"/>
      <c r="C406" s="414"/>
      <c r="D406" s="414"/>
      <c r="E406" s="414"/>
      <c r="F406" s="414"/>
      <c r="G406" s="413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  <c r="T406" s="413"/>
      <c r="U406" s="413"/>
      <c r="V406" s="413"/>
      <c r="W406" s="413"/>
      <c r="X406" s="413"/>
      <c r="Y406" s="413"/>
      <c r="Z406" s="413"/>
    </row>
    <row r="407" ht="12.0" customHeight="1">
      <c r="A407" s="413"/>
      <c r="B407" s="413"/>
      <c r="C407" s="414"/>
      <c r="D407" s="414"/>
      <c r="E407" s="414"/>
      <c r="F407" s="414"/>
      <c r="G407" s="413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  <c r="T407" s="413"/>
      <c r="U407" s="413"/>
      <c r="V407" s="413"/>
      <c r="W407" s="413"/>
      <c r="X407" s="413"/>
      <c r="Y407" s="413"/>
      <c r="Z407" s="413"/>
    </row>
    <row r="408" ht="12.0" customHeight="1">
      <c r="A408" s="413"/>
      <c r="B408" s="413"/>
      <c r="C408" s="414"/>
      <c r="D408" s="414"/>
      <c r="E408" s="414"/>
      <c r="F408" s="414"/>
      <c r="G408" s="413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  <c r="T408" s="413"/>
      <c r="U408" s="413"/>
      <c r="V408" s="413"/>
      <c r="W408" s="413"/>
      <c r="X408" s="413"/>
      <c r="Y408" s="413"/>
      <c r="Z408" s="413"/>
    </row>
    <row r="409" ht="12.0" customHeight="1">
      <c r="A409" s="413"/>
      <c r="B409" s="413"/>
      <c r="C409" s="414"/>
      <c r="D409" s="414"/>
      <c r="E409" s="414"/>
      <c r="F409" s="414"/>
      <c r="G409" s="413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  <c r="T409" s="413"/>
      <c r="U409" s="413"/>
      <c r="V409" s="413"/>
      <c r="W409" s="413"/>
      <c r="X409" s="413"/>
      <c r="Y409" s="413"/>
      <c r="Z409" s="413"/>
    </row>
    <row r="410" ht="12.0" customHeight="1">
      <c r="A410" s="413"/>
      <c r="B410" s="413"/>
      <c r="C410" s="414"/>
      <c r="D410" s="414"/>
      <c r="E410" s="414"/>
      <c r="F410" s="414"/>
      <c r="G410" s="413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  <c r="T410" s="413"/>
      <c r="U410" s="413"/>
      <c r="V410" s="413"/>
      <c r="W410" s="413"/>
      <c r="X410" s="413"/>
      <c r="Y410" s="413"/>
      <c r="Z410" s="413"/>
    </row>
    <row r="411" ht="12.0" customHeight="1">
      <c r="A411" s="413"/>
      <c r="B411" s="413"/>
      <c r="C411" s="414"/>
      <c r="D411" s="414"/>
      <c r="E411" s="414"/>
      <c r="F411" s="414"/>
      <c r="G411" s="413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  <c r="T411" s="413"/>
      <c r="U411" s="413"/>
      <c r="V411" s="413"/>
      <c r="W411" s="413"/>
      <c r="X411" s="413"/>
      <c r="Y411" s="413"/>
      <c r="Z411" s="413"/>
    </row>
    <row r="412" ht="12.0" customHeight="1">
      <c r="A412" s="413"/>
      <c r="B412" s="413"/>
      <c r="C412" s="414"/>
      <c r="D412" s="414"/>
      <c r="E412" s="414"/>
      <c r="F412" s="414"/>
      <c r="G412" s="413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  <c r="T412" s="413"/>
      <c r="U412" s="413"/>
      <c r="V412" s="413"/>
      <c r="W412" s="413"/>
      <c r="X412" s="413"/>
      <c r="Y412" s="413"/>
      <c r="Z412" s="413"/>
    </row>
    <row r="413" ht="12.0" customHeight="1">
      <c r="A413" s="413"/>
      <c r="B413" s="413"/>
      <c r="C413" s="414"/>
      <c r="D413" s="414"/>
      <c r="E413" s="414"/>
      <c r="F413" s="414"/>
      <c r="G413" s="413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</row>
    <row r="414" ht="12.0" customHeight="1">
      <c r="A414" s="413"/>
      <c r="B414" s="413"/>
      <c r="C414" s="414"/>
      <c r="D414" s="414"/>
      <c r="E414" s="414"/>
      <c r="F414" s="414"/>
      <c r="G414" s="413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  <c r="T414" s="413"/>
      <c r="U414" s="413"/>
      <c r="V414" s="413"/>
      <c r="W414" s="413"/>
      <c r="X414" s="413"/>
      <c r="Y414" s="413"/>
      <c r="Z414" s="413"/>
    </row>
    <row r="415" ht="12.0" customHeight="1">
      <c r="A415" s="413"/>
      <c r="B415" s="413"/>
      <c r="C415" s="414"/>
      <c r="D415" s="414"/>
      <c r="E415" s="414"/>
      <c r="F415" s="414"/>
      <c r="G415" s="413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  <c r="T415" s="413"/>
      <c r="U415" s="413"/>
      <c r="V415" s="413"/>
      <c r="W415" s="413"/>
      <c r="X415" s="413"/>
      <c r="Y415" s="413"/>
      <c r="Z415" s="413"/>
    </row>
    <row r="416" ht="12.0" customHeight="1">
      <c r="A416" s="413"/>
      <c r="B416" s="413"/>
      <c r="C416" s="414"/>
      <c r="D416" s="414"/>
      <c r="E416" s="414"/>
      <c r="F416" s="414"/>
      <c r="G416" s="413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  <c r="T416" s="413"/>
      <c r="U416" s="413"/>
      <c r="V416" s="413"/>
      <c r="W416" s="413"/>
      <c r="X416" s="413"/>
      <c r="Y416" s="413"/>
      <c r="Z416" s="413"/>
    </row>
    <row r="417" ht="12.0" customHeight="1">
      <c r="A417" s="413"/>
      <c r="B417" s="413"/>
      <c r="C417" s="414"/>
      <c r="D417" s="414"/>
      <c r="E417" s="414"/>
      <c r="F417" s="414"/>
      <c r="G417" s="413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  <c r="T417" s="413"/>
      <c r="U417" s="413"/>
      <c r="V417" s="413"/>
      <c r="W417" s="413"/>
      <c r="X417" s="413"/>
      <c r="Y417" s="413"/>
      <c r="Z417" s="413"/>
    </row>
    <row r="418" ht="12.0" customHeight="1">
      <c r="A418" s="413"/>
      <c r="B418" s="413"/>
      <c r="C418" s="414"/>
      <c r="D418" s="414"/>
      <c r="E418" s="414"/>
      <c r="F418" s="414"/>
      <c r="G418" s="413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  <c r="T418" s="413"/>
      <c r="U418" s="413"/>
      <c r="V418" s="413"/>
      <c r="W418" s="413"/>
      <c r="X418" s="413"/>
      <c r="Y418" s="413"/>
      <c r="Z418" s="413"/>
    </row>
    <row r="419" ht="12.0" customHeight="1">
      <c r="A419" s="413"/>
      <c r="B419" s="413"/>
      <c r="C419" s="414"/>
      <c r="D419" s="414"/>
      <c r="E419" s="414"/>
      <c r="F419" s="414"/>
      <c r="G419" s="413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  <c r="T419" s="413"/>
      <c r="U419" s="413"/>
      <c r="V419" s="413"/>
      <c r="W419" s="413"/>
      <c r="X419" s="413"/>
      <c r="Y419" s="413"/>
      <c r="Z419" s="413"/>
    </row>
    <row r="420" ht="12.0" customHeight="1">
      <c r="A420" s="413"/>
      <c r="B420" s="413"/>
      <c r="C420" s="414"/>
      <c r="D420" s="414"/>
      <c r="E420" s="414"/>
      <c r="F420" s="414"/>
      <c r="G420" s="413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  <c r="T420" s="413"/>
      <c r="U420" s="413"/>
      <c r="V420" s="413"/>
      <c r="W420" s="413"/>
      <c r="X420" s="413"/>
      <c r="Y420" s="413"/>
      <c r="Z420" s="413"/>
    </row>
    <row r="421" ht="12.0" customHeight="1">
      <c r="A421" s="413"/>
      <c r="B421" s="413"/>
      <c r="C421" s="414"/>
      <c r="D421" s="414"/>
      <c r="E421" s="414"/>
      <c r="F421" s="414"/>
      <c r="G421" s="413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  <c r="T421" s="413"/>
      <c r="U421" s="413"/>
      <c r="V421" s="413"/>
      <c r="W421" s="413"/>
      <c r="X421" s="413"/>
      <c r="Y421" s="413"/>
      <c r="Z421" s="413"/>
    </row>
    <row r="422" ht="12.0" customHeight="1">
      <c r="A422" s="413"/>
      <c r="B422" s="413"/>
      <c r="C422" s="414"/>
      <c r="D422" s="414"/>
      <c r="E422" s="414"/>
      <c r="F422" s="414"/>
      <c r="G422" s="413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  <c r="T422" s="413"/>
      <c r="U422" s="413"/>
      <c r="V422" s="413"/>
      <c r="W422" s="413"/>
      <c r="X422" s="413"/>
      <c r="Y422" s="413"/>
      <c r="Z422" s="413"/>
    </row>
    <row r="423" ht="12.0" customHeight="1">
      <c r="A423" s="413"/>
      <c r="B423" s="413"/>
      <c r="C423" s="414"/>
      <c r="D423" s="414"/>
      <c r="E423" s="414"/>
      <c r="F423" s="414"/>
      <c r="G423" s="413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  <c r="T423" s="413"/>
      <c r="U423" s="413"/>
      <c r="V423" s="413"/>
      <c r="W423" s="413"/>
      <c r="X423" s="413"/>
      <c r="Y423" s="413"/>
      <c r="Z423" s="413"/>
    </row>
    <row r="424" ht="12.0" customHeight="1">
      <c r="A424" s="413"/>
      <c r="B424" s="413"/>
      <c r="C424" s="414"/>
      <c r="D424" s="414"/>
      <c r="E424" s="414"/>
      <c r="F424" s="414"/>
      <c r="G424" s="413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  <c r="T424" s="413"/>
      <c r="U424" s="413"/>
      <c r="V424" s="413"/>
      <c r="W424" s="413"/>
      <c r="X424" s="413"/>
      <c r="Y424" s="413"/>
      <c r="Z424" s="413"/>
    </row>
    <row r="425" ht="12.0" customHeight="1">
      <c r="A425" s="413"/>
      <c r="B425" s="413"/>
      <c r="C425" s="414"/>
      <c r="D425" s="414"/>
      <c r="E425" s="414"/>
      <c r="F425" s="414"/>
      <c r="G425" s="413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  <c r="T425" s="413"/>
      <c r="U425" s="413"/>
      <c r="V425" s="413"/>
      <c r="W425" s="413"/>
      <c r="X425" s="413"/>
      <c r="Y425" s="413"/>
      <c r="Z425" s="413"/>
    </row>
    <row r="426" ht="12.0" customHeight="1">
      <c r="A426" s="413"/>
      <c r="B426" s="413"/>
      <c r="C426" s="414"/>
      <c r="D426" s="414"/>
      <c r="E426" s="414"/>
      <c r="F426" s="414"/>
      <c r="G426" s="413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  <c r="T426" s="413"/>
      <c r="U426" s="413"/>
      <c r="V426" s="413"/>
      <c r="W426" s="413"/>
      <c r="X426" s="413"/>
      <c r="Y426" s="413"/>
      <c r="Z426" s="413"/>
    </row>
    <row r="427" ht="12.0" customHeight="1">
      <c r="A427" s="413"/>
      <c r="B427" s="413"/>
      <c r="C427" s="414"/>
      <c r="D427" s="414"/>
      <c r="E427" s="414"/>
      <c r="F427" s="414"/>
      <c r="G427" s="413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  <c r="T427" s="413"/>
      <c r="U427" s="413"/>
      <c r="V427" s="413"/>
      <c r="W427" s="413"/>
      <c r="X427" s="413"/>
      <c r="Y427" s="413"/>
      <c r="Z427" s="413"/>
    </row>
    <row r="428" ht="12.0" customHeight="1">
      <c r="A428" s="413"/>
      <c r="B428" s="413"/>
      <c r="C428" s="414"/>
      <c r="D428" s="414"/>
      <c r="E428" s="414"/>
      <c r="F428" s="414"/>
      <c r="G428" s="413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  <c r="T428" s="413"/>
      <c r="U428" s="413"/>
      <c r="V428" s="413"/>
      <c r="W428" s="413"/>
      <c r="X428" s="413"/>
      <c r="Y428" s="413"/>
      <c r="Z428" s="413"/>
    </row>
    <row r="429" ht="12.0" customHeight="1">
      <c r="A429" s="413"/>
      <c r="B429" s="413"/>
      <c r="C429" s="414"/>
      <c r="D429" s="414"/>
      <c r="E429" s="414"/>
      <c r="F429" s="414"/>
      <c r="G429" s="413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  <c r="T429" s="413"/>
      <c r="U429" s="413"/>
      <c r="V429" s="413"/>
      <c r="W429" s="413"/>
      <c r="X429" s="413"/>
      <c r="Y429" s="413"/>
      <c r="Z429" s="413"/>
    </row>
    <row r="430" ht="12.0" customHeight="1">
      <c r="A430" s="413"/>
      <c r="B430" s="413"/>
      <c r="C430" s="414"/>
      <c r="D430" s="414"/>
      <c r="E430" s="414"/>
      <c r="F430" s="414"/>
      <c r="G430" s="413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  <c r="T430" s="413"/>
      <c r="U430" s="413"/>
      <c r="V430" s="413"/>
      <c r="W430" s="413"/>
      <c r="X430" s="413"/>
      <c r="Y430" s="413"/>
      <c r="Z430" s="413"/>
    </row>
    <row r="431" ht="12.0" customHeight="1">
      <c r="A431" s="413"/>
      <c r="B431" s="413"/>
      <c r="C431" s="414"/>
      <c r="D431" s="414"/>
      <c r="E431" s="414"/>
      <c r="F431" s="414"/>
      <c r="G431" s="413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  <c r="T431" s="413"/>
      <c r="U431" s="413"/>
      <c r="V431" s="413"/>
      <c r="W431" s="413"/>
      <c r="X431" s="413"/>
      <c r="Y431" s="413"/>
      <c r="Z431" s="413"/>
    </row>
    <row r="432" ht="12.0" customHeight="1">
      <c r="A432" s="413"/>
      <c r="B432" s="413"/>
      <c r="C432" s="414"/>
      <c r="D432" s="414"/>
      <c r="E432" s="414"/>
      <c r="F432" s="414"/>
      <c r="G432" s="413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  <c r="T432" s="413"/>
      <c r="U432" s="413"/>
      <c r="V432" s="413"/>
      <c r="W432" s="413"/>
      <c r="X432" s="413"/>
      <c r="Y432" s="413"/>
      <c r="Z432" s="413"/>
    </row>
    <row r="433" ht="12.0" customHeight="1">
      <c r="A433" s="413"/>
      <c r="B433" s="413"/>
      <c r="C433" s="414"/>
      <c r="D433" s="414"/>
      <c r="E433" s="414"/>
      <c r="F433" s="414"/>
      <c r="G433" s="413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  <c r="T433" s="413"/>
      <c r="U433" s="413"/>
      <c r="V433" s="413"/>
      <c r="W433" s="413"/>
      <c r="X433" s="413"/>
      <c r="Y433" s="413"/>
      <c r="Z433" s="413"/>
    </row>
    <row r="434" ht="12.0" customHeight="1">
      <c r="A434" s="413"/>
      <c r="B434" s="413"/>
      <c r="C434" s="414"/>
      <c r="D434" s="414"/>
      <c r="E434" s="414"/>
      <c r="F434" s="414"/>
      <c r="G434" s="413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  <c r="T434" s="413"/>
      <c r="U434" s="413"/>
      <c r="V434" s="413"/>
      <c r="W434" s="413"/>
      <c r="X434" s="413"/>
      <c r="Y434" s="413"/>
      <c r="Z434" s="413"/>
    </row>
    <row r="435" ht="12.0" customHeight="1">
      <c r="A435" s="413"/>
      <c r="B435" s="413"/>
      <c r="C435" s="414"/>
      <c r="D435" s="414"/>
      <c r="E435" s="414"/>
      <c r="F435" s="414"/>
      <c r="G435" s="413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  <c r="T435" s="413"/>
      <c r="U435" s="413"/>
      <c r="V435" s="413"/>
      <c r="W435" s="413"/>
      <c r="X435" s="413"/>
      <c r="Y435" s="413"/>
      <c r="Z435" s="413"/>
    </row>
    <row r="436" ht="12.0" customHeight="1">
      <c r="A436" s="413"/>
      <c r="B436" s="413"/>
      <c r="C436" s="414"/>
      <c r="D436" s="414"/>
      <c r="E436" s="414"/>
      <c r="F436" s="414"/>
      <c r="G436" s="413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  <c r="T436" s="413"/>
      <c r="U436" s="413"/>
      <c r="V436" s="413"/>
      <c r="W436" s="413"/>
      <c r="X436" s="413"/>
      <c r="Y436" s="413"/>
      <c r="Z436" s="413"/>
    </row>
    <row r="437" ht="12.0" customHeight="1">
      <c r="A437" s="413"/>
      <c r="B437" s="413"/>
      <c r="C437" s="414"/>
      <c r="D437" s="414"/>
      <c r="E437" s="414"/>
      <c r="F437" s="414"/>
      <c r="G437" s="413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  <c r="T437" s="413"/>
      <c r="U437" s="413"/>
      <c r="V437" s="413"/>
      <c r="W437" s="413"/>
      <c r="X437" s="413"/>
      <c r="Y437" s="413"/>
      <c r="Z437" s="413"/>
    </row>
    <row r="438" ht="12.0" customHeight="1">
      <c r="A438" s="413"/>
      <c r="B438" s="413"/>
      <c r="C438" s="414"/>
      <c r="D438" s="414"/>
      <c r="E438" s="414"/>
      <c r="F438" s="414"/>
      <c r="G438" s="413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  <c r="T438" s="413"/>
      <c r="U438" s="413"/>
      <c r="V438" s="413"/>
      <c r="W438" s="413"/>
      <c r="X438" s="413"/>
      <c r="Y438" s="413"/>
      <c r="Z438" s="413"/>
    </row>
    <row r="439" ht="12.0" customHeight="1">
      <c r="A439" s="413"/>
      <c r="B439" s="413"/>
      <c r="C439" s="414"/>
      <c r="D439" s="414"/>
      <c r="E439" s="414"/>
      <c r="F439" s="414"/>
      <c r="G439" s="413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  <c r="T439" s="413"/>
      <c r="U439" s="413"/>
      <c r="V439" s="413"/>
      <c r="W439" s="413"/>
      <c r="X439" s="413"/>
      <c r="Y439" s="413"/>
      <c r="Z439" s="413"/>
    </row>
    <row r="440" ht="12.0" customHeight="1">
      <c r="A440" s="413"/>
      <c r="B440" s="413"/>
      <c r="C440" s="414"/>
      <c r="D440" s="414"/>
      <c r="E440" s="414"/>
      <c r="F440" s="414"/>
      <c r="G440" s="413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  <c r="T440" s="413"/>
      <c r="U440" s="413"/>
      <c r="V440" s="413"/>
      <c r="W440" s="413"/>
      <c r="X440" s="413"/>
      <c r="Y440" s="413"/>
      <c r="Z440" s="413"/>
    </row>
    <row r="441" ht="12.0" customHeight="1">
      <c r="A441" s="413"/>
      <c r="B441" s="413"/>
      <c r="C441" s="414"/>
      <c r="D441" s="414"/>
      <c r="E441" s="414"/>
      <c r="F441" s="414"/>
      <c r="G441" s="413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  <c r="T441" s="413"/>
      <c r="U441" s="413"/>
      <c r="V441" s="413"/>
      <c r="W441" s="413"/>
      <c r="X441" s="413"/>
      <c r="Y441" s="413"/>
      <c r="Z441" s="413"/>
    </row>
    <row r="442" ht="12.0" customHeight="1">
      <c r="A442" s="413"/>
      <c r="B442" s="413"/>
      <c r="C442" s="414"/>
      <c r="D442" s="414"/>
      <c r="E442" s="414"/>
      <c r="F442" s="414"/>
      <c r="G442" s="413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  <c r="T442" s="413"/>
      <c r="U442" s="413"/>
      <c r="V442" s="413"/>
      <c r="W442" s="413"/>
      <c r="X442" s="413"/>
      <c r="Y442" s="413"/>
      <c r="Z442" s="413"/>
    </row>
    <row r="443" ht="12.0" customHeight="1">
      <c r="A443" s="413"/>
      <c r="B443" s="413"/>
      <c r="C443" s="414"/>
      <c r="D443" s="414"/>
      <c r="E443" s="414"/>
      <c r="F443" s="414"/>
      <c r="G443" s="413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  <c r="T443" s="413"/>
      <c r="U443" s="413"/>
      <c r="V443" s="413"/>
      <c r="W443" s="413"/>
      <c r="X443" s="413"/>
      <c r="Y443" s="413"/>
      <c r="Z443" s="413"/>
    </row>
    <row r="444" ht="12.0" customHeight="1">
      <c r="A444" s="413"/>
      <c r="B444" s="413"/>
      <c r="C444" s="414"/>
      <c r="D444" s="414"/>
      <c r="E444" s="414"/>
      <c r="F444" s="414"/>
      <c r="G444" s="413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  <c r="T444" s="413"/>
      <c r="U444" s="413"/>
      <c r="V444" s="413"/>
      <c r="W444" s="413"/>
      <c r="X444" s="413"/>
      <c r="Y444" s="413"/>
      <c r="Z444" s="413"/>
    </row>
    <row r="445" ht="12.0" customHeight="1">
      <c r="A445" s="413"/>
      <c r="B445" s="413"/>
      <c r="C445" s="414"/>
      <c r="D445" s="414"/>
      <c r="E445" s="414"/>
      <c r="F445" s="414"/>
      <c r="G445" s="413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  <c r="T445" s="413"/>
      <c r="U445" s="413"/>
      <c r="V445" s="413"/>
      <c r="W445" s="413"/>
      <c r="X445" s="413"/>
      <c r="Y445" s="413"/>
      <c r="Z445" s="413"/>
    </row>
    <row r="446" ht="12.0" customHeight="1">
      <c r="A446" s="413"/>
      <c r="B446" s="413"/>
      <c r="C446" s="414"/>
      <c r="D446" s="414"/>
      <c r="E446" s="414"/>
      <c r="F446" s="414"/>
      <c r="G446" s="413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  <c r="T446" s="413"/>
      <c r="U446" s="413"/>
      <c r="V446" s="413"/>
      <c r="W446" s="413"/>
      <c r="X446" s="413"/>
      <c r="Y446" s="413"/>
      <c r="Z446" s="413"/>
    </row>
    <row r="447" ht="12.0" customHeight="1">
      <c r="A447" s="413"/>
      <c r="B447" s="413"/>
      <c r="C447" s="414"/>
      <c r="D447" s="414"/>
      <c r="E447" s="414"/>
      <c r="F447" s="414"/>
      <c r="G447" s="413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  <c r="T447" s="413"/>
      <c r="U447" s="413"/>
      <c r="V447" s="413"/>
      <c r="W447" s="413"/>
      <c r="X447" s="413"/>
      <c r="Y447" s="413"/>
      <c r="Z447" s="413"/>
    </row>
    <row r="448" ht="12.0" customHeight="1">
      <c r="A448" s="413"/>
      <c r="B448" s="413"/>
      <c r="C448" s="414"/>
      <c r="D448" s="414"/>
      <c r="E448" s="414"/>
      <c r="F448" s="414"/>
      <c r="G448" s="413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  <c r="T448" s="413"/>
      <c r="U448" s="413"/>
      <c r="V448" s="413"/>
      <c r="W448" s="413"/>
      <c r="X448" s="413"/>
      <c r="Y448" s="413"/>
      <c r="Z448" s="413"/>
    </row>
    <row r="449" ht="12.0" customHeight="1">
      <c r="A449" s="413"/>
      <c r="B449" s="413"/>
      <c r="C449" s="414"/>
      <c r="D449" s="414"/>
      <c r="E449" s="414"/>
      <c r="F449" s="414"/>
      <c r="G449" s="413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  <c r="T449" s="413"/>
      <c r="U449" s="413"/>
      <c r="V449" s="413"/>
      <c r="W449" s="413"/>
      <c r="X449" s="413"/>
      <c r="Y449" s="413"/>
      <c r="Z449" s="413"/>
    </row>
    <row r="450" ht="12.0" customHeight="1">
      <c r="A450" s="413"/>
      <c r="B450" s="413"/>
      <c r="C450" s="414"/>
      <c r="D450" s="414"/>
      <c r="E450" s="414"/>
      <c r="F450" s="414"/>
      <c r="G450" s="413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  <c r="T450" s="413"/>
      <c r="U450" s="413"/>
      <c r="V450" s="413"/>
      <c r="W450" s="413"/>
      <c r="X450" s="413"/>
      <c r="Y450" s="413"/>
      <c r="Z450" s="413"/>
    </row>
    <row r="451" ht="12.0" customHeight="1">
      <c r="A451" s="413"/>
      <c r="B451" s="413"/>
      <c r="C451" s="414"/>
      <c r="D451" s="414"/>
      <c r="E451" s="414"/>
      <c r="F451" s="414"/>
      <c r="G451" s="413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  <c r="T451" s="413"/>
      <c r="U451" s="413"/>
      <c r="V451" s="413"/>
      <c r="W451" s="413"/>
      <c r="X451" s="413"/>
      <c r="Y451" s="413"/>
      <c r="Z451" s="413"/>
    </row>
    <row r="452" ht="12.0" customHeight="1">
      <c r="A452" s="413"/>
      <c r="B452" s="413"/>
      <c r="C452" s="414"/>
      <c r="D452" s="414"/>
      <c r="E452" s="414"/>
      <c r="F452" s="414"/>
      <c r="G452" s="413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  <c r="T452" s="413"/>
      <c r="U452" s="413"/>
      <c r="V452" s="413"/>
      <c r="W452" s="413"/>
      <c r="X452" s="413"/>
      <c r="Y452" s="413"/>
      <c r="Z452" s="413"/>
    </row>
    <row r="453" ht="12.0" customHeight="1">
      <c r="A453" s="413"/>
      <c r="B453" s="413"/>
      <c r="C453" s="414"/>
      <c r="D453" s="414"/>
      <c r="E453" s="414"/>
      <c r="F453" s="414"/>
      <c r="G453" s="413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  <c r="T453" s="413"/>
      <c r="U453" s="413"/>
      <c r="V453" s="413"/>
      <c r="W453" s="413"/>
      <c r="X453" s="413"/>
      <c r="Y453" s="413"/>
      <c r="Z453" s="413"/>
    </row>
    <row r="454" ht="12.0" customHeight="1">
      <c r="A454" s="413"/>
      <c r="B454" s="413"/>
      <c r="C454" s="414"/>
      <c r="D454" s="414"/>
      <c r="E454" s="414"/>
      <c r="F454" s="414"/>
      <c r="G454" s="413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  <c r="T454" s="413"/>
      <c r="U454" s="413"/>
      <c r="V454" s="413"/>
      <c r="W454" s="413"/>
      <c r="X454" s="413"/>
      <c r="Y454" s="413"/>
      <c r="Z454" s="413"/>
    </row>
    <row r="455" ht="12.0" customHeight="1">
      <c r="A455" s="413"/>
      <c r="B455" s="413"/>
      <c r="C455" s="414"/>
      <c r="D455" s="414"/>
      <c r="E455" s="414"/>
      <c r="F455" s="414"/>
      <c r="G455" s="413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  <c r="T455" s="413"/>
      <c r="U455" s="413"/>
      <c r="V455" s="413"/>
      <c r="W455" s="413"/>
      <c r="X455" s="413"/>
      <c r="Y455" s="413"/>
      <c r="Z455" s="413"/>
    </row>
    <row r="456" ht="12.0" customHeight="1">
      <c r="A456" s="413"/>
      <c r="B456" s="413"/>
      <c r="C456" s="414"/>
      <c r="D456" s="414"/>
      <c r="E456" s="414"/>
      <c r="F456" s="414"/>
      <c r="G456" s="413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  <c r="T456" s="413"/>
      <c r="U456" s="413"/>
      <c r="V456" s="413"/>
      <c r="W456" s="413"/>
      <c r="X456" s="413"/>
      <c r="Y456" s="413"/>
      <c r="Z456" s="413"/>
    </row>
    <row r="457" ht="12.0" customHeight="1">
      <c r="A457" s="413"/>
      <c r="B457" s="413"/>
      <c r="C457" s="414"/>
      <c r="D457" s="414"/>
      <c r="E457" s="414"/>
      <c r="F457" s="414"/>
      <c r="G457" s="413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  <c r="T457" s="413"/>
      <c r="U457" s="413"/>
      <c r="V457" s="413"/>
      <c r="W457" s="413"/>
      <c r="X457" s="413"/>
      <c r="Y457" s="413"/>
      <c r="Z457" s="413"/>
    </row>
    <row r="458" ht="12.0" customHeight="1">
      <c r="A458" s="413"/>
      <c r="B458" s="413"/>
      <c r="C458" s="414"/>
      <c r="D458" s="414"/>
      <c r="E458" s="414"/>
      <c r="F458" s="414"/>
      <c r="G458" s="413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  <c r="T458" s="413"/>
      <c r="U458" s="413"/>
      <c r="V458" s="413"/>
      <c r="W458" s="413"/>
      <c r="X458" s="413"/>
      <c r="Y458" s="413"/>
      <c r="Z458" s="413"/>
    </row>
    <row r="459" ht="12.0" customHeight="1">
      <c r="A459" s="413"/>
      <c r="B459" s="413"/>
      <c r="C459" s="414"/>
      <c r="D459" s="414"/>
      <c r="E459" s="414"/>
      <c r="F459" s="414"/>
      <c r="G459" s="413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  <c r="T459" s="413"/>
      <c r="U459" s="413"/>
      <c r="V459" s="413"/>
      <c r="W459" s="413"/>
      <c r="X459" s="413"/>
      <c r="Y459" s="413"/>
      <c r="Z459" s="413"/>
    </row>
    <row r="460" ht="12.0" customHeight="1">
      <c r="A460" s="413"/>
      <c r="B460" s="413"/>
      <c r="C460" s="414"/>
      <c r="D460" s="414"/>
      <c r="E460" s="414"/>
      <c r="F460" s="414"/>
      <c r="G460" s="413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  <c r="T460" s="413"/>
      <c r="U460" s="413"/>
      <c r="V460" s="413"/>
      <c r="W460" s="413"/>
      <c r="X460" s="413"/>
      <c r="Y460" s="413"/>
      <c r="Z460" s="413"/>
    </row>
    <row r="461" ht="12.0" customHeight="1">
      <c r="A461" s="413"/>
      <c r="B461" s="413"/>
      <c r="C461" s="414"/>
      <c r="D461" s="414"/>
      <c r="E461" s="414"/>
      <c r="F461" s="414"/>
      <c r="G461" s="413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  <c r="T461" s="413"/>
      <c r="U461" s="413"/>
      <c r="V461" s="413"/>
      <c r="W461" s="413"/>
      <c r="X461" s="413"/>
      <c r="Y461" s="413"/>
      <c r="Z461" s="413"/>
    </row>
    <row r="462" ht="12.0" customHeight="1">
      <c r="A462" s="413"/>
      <c r="B462" s="413"/>
      <c r="C462" s="414"/>
      <c r="D462" s="414"/>
      <c r="E462" s="414"/>
      <c r="F462" s="414"/>
      <c r="G462" s="413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  <c r="T462" s="413"/>
      <c r="U462" s="413"/>
      <c r="V462" s="413"/>
      <c r="W462" s="413"/>
      <c r="X462" s="413"/>
      <c r="Y462" s="413"/>
      <c r="Z462" s="413"/>
    </row>
    <row r="463" ht="12.0" customHeight="1">
      <c r="A463" s="413"/>
      <c r="B463" s="413"/>
      <c r="C463" s="414"/>
      <c r="D463" s="414"/>
      <c r="E463" s="414"/>
      <c r="F463" s="414"/>
      <c r="G463" s="413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  <c r="T463" s="413"/>
      <c r="U463" s="413"/>
      <c r="V463" s="413"/>
      <c r="W463" s="413"/>
      <c r="X463" s="413"/>
      <c r="Y463" s="413"/>
      <c r="Z463" s="413"/>
    </row>
    <row r="464" ht="12.0" customHeight="1">
      <c r="A464" s="413"/>
      <c r="B464" s="413"/>
      <c r="C464" s="414"/>
      <c r="D464" s="414"/>
      <c r="E464" s="414"/>
      <c r="F464" s="414"/>
      <c r="G464" s="413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  <c r="T464" s="413"/>
      <c r="U464" s="413"/>
      <c r="V464" s="413"/>
      <c r="W464" s="413"/>
      <c r="X464" s="413"/>
      <c r="Y464" s="413"/>
      <c r="Z464" s="413"/>
    </row>
    <row r="465" ht="12.0" customHeight="1">
      <c r="A465" s="413"/>
      <c r="B465" s="413"/>
      <c r="C465" s="414"/>
      <c r="D465" s="414"/>
      <c r="E465" s="414"/>
      <c r="F465" s="414"/>
      <c r="G465" s="413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  <c r="T465" s="413"/>
      <c r="U465" s="413"/>
      <c r="V465" s="413"/>
      <c r="W465" s="413"/>
      <c r="X465" s="413"/>
      <c r="Y465" s="413"/>
      <c r="Z465" s="413"/>
    </row>
    <row r="466" ht="12.0" customHeight="1">
      <c r="A466" s="413"/>
      <c r="B466" s="413"/>
      <c r="C466" s="414"/>
      <c r="D466" s="414"/>
      <c r="E466" s="414"/>
      <c r="F466" s="414"/>
      <c r="G466" s="413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  <c r="T466" s="413"/>
      <c r="U466" s="413"/>
      <c r="V466" s="413"/>
      <c r="W466" s="413"/>
      <c r="X466" s="413"/>
      <c r="Y466" s="413"/>
      <c r="Z466" s="413"/>
    </row>
    <row r="467" ht="12.0" customHeight="1">
      <c r="A467" s="413"/>
      <c r="B467" s="413"/>
      <c r="C467" s="414"/>
      <c r="D467" s="414"/>
      <c r="E467" s="414"/>
      <c r="F467" s="414"/>
      <c r="G467" s="413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  <c r="T467" s="413"/>
      <c r="U467" s="413"/>
      <c r="V467" s="413"/>
      <c r="W467" s="413"/>
      <c r="X467" s="413"/>
      <c r="Y467" s="413"/>
      <c r="Z467" s="413"/>
    </row>
    <row r="468" ht="12.0" customHeight="1">
      <c r="A468" s="413"/>
      <c r="B468" s="413"/>
      <c r="C468" s="414"/>
      <c r="D468" s="414"/>
      <c r="E468" s="414"/>
      <c r="F468" s="414"/>
      <c r="G468" s="413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  <c r="T468" s="413"/>
      <c r="U468" s="413"/>
      <c r="V468" s="413"/>
      <c r="W468" s="413"/>
      <c r="X468" s="413"/>
      <c r="Y468" s="413"/>
      <c r="Z468" s="413"/>
    </row>
    <row r="469" ht="12.0" customHeight="1">
      <c r="A469" s="413"/>
      <c r="B469" s="413"/>
      <c r="C469" s="414"/>
      <c r="D469" s="414"/>
      <c r="E469" s="414"/>
      <c r="F469" s="414"/>
      <c r="G469" s="413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  <c r="T469" s="413"/>
      <c r="U469" s="413"/>
      <c r="V469" s="413"/>
      <c r="W469" s="413"/>
      <c r="X469" s="413"/>
      <c r="Y469" s="413"/>
      <c r="Z469" s="413"/>
    </row>
    <row r="470" ht="12.0" customHeight="1">
      <c r="A470" s="413"/>
      <c r="B470" s="413"/>
      <c r="C470" s="414"/>
      <c r="D470" s="414"/>
      <c r="E470" s="414"/>
      <c r="F470" s="414"/>
      <c r="G470" s="413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  <c r="T470" s="413"/>
      <c r="U470" s="413"/>
      <c r="V470" s="413"/>
      <c r="W470" s="413"/>
      <c r="X470" s="413"/>
      <c r="Y470" s="413"/>
      <c r="Z470" s="413"/>
    </row>
    <row r="471" ht="12.0" customHeight="1">
      <c r="A471" s="413"/>
      <c r="B471" s="413"/>
      <c r="C471" s="414"/>
      <c r="D471" s="414"/>
      <c r="E471" s="414"/>
      <c r="F471" s="414"/>
      <c r="G471" s="413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  <c r="T471" s="413"/>
      <c r="U471" s="413"/>
      <c r="V471" s="413"/>
      <c r="W471" s="413"/>
      <c r="X471" s="413"/>
      <c r="Y471" s="413"/>
      <c r="Z471" s="413"/>
    </row>
    <row r="472" ht="12.0" customHeight="1">
      <c r="A472" s="413"/>
      <c r="B472" s="413"/>
      <c r="C472" s="414"/>
      <c r="D472" s="414"/>
      <c r="E472" s="414"/>
      <c r="F472" s="414"/>
      <c r="G472" s="413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  <c r="T472" s="413"/>
      <c r="U472" s="413"/>
      <c r="V472" s="413"/>
      <c r="W472" s="413"/>
      <c r="X472" s="413"/>
      <c r="Y472" s="413"/>
      <c r="Z472" s="413"/>
    </row>
    <row r="473" ht="12.0" customHeight="1">
      <c r="A473" s="413"/>
      <c r="B473" s="413"/>
      <c r="C473" s="414"/>
      <c r="D473" s="414"/>
      <c r="E473" s="414"/>
      <c r="F473" s="414"/>
      <c r="G473" s="413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  <c r="T473" s="413"/>
      <c r="U473" s="413"/>
      <c r="V473" s="413"/>
      <c r="W473" s="413"/>
      <c r="X473" s="413"/>
      <c r="Y473" s="413"/>
      <c r="Z473" s="413"/>
    </row>
    <row r="474" ht="12.0" customHeight="1">
      <c r="A474" s="413"/>
      <c r="B474" s="413"/>
      <c r="C474" s="414"/>
      <c r="D474" s="414"/>
      <c r="E474" s="414"/>
      <c r="F474" s="414"/>
      <c r="G474" s="413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  <c r="T474" s="413"/>
      <c r="U474" s="413"/>
      <c r="V474" s="413"/>
      <c r="W474" s="413"/>
      <c r="X474" s="413"/>
      <c r="Y474" s="413"/>
      <c r="Z474" s="413"/>
    </row>
    <row r="475" ht="12.0" customHeight="1">
      <c r="A475" s="413"/>
      <c r="B475" s="413"/>
      <c r="C475" s="414"/>
      <c r="D475" s="414"/>
      <c r="E475" s="414"/>
      <c r="F475" s="414"/>
      <c r="G475" s="413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  <c r="T475" s="413"/>
      <c r="U475" s="413"/>
      <c r="V475" s="413"/>
      <c r="W475" s="413"/>
      <c r="X475" s="413"/>
      <c r="Y475" s="413"/>
      <c r="Z475" s="413"/>
    </row>
    <row r="476" ht="12.0" customHeight="1">
      <c r="A476" s="413"/>
      <c r="B476" s="413"/>
      <c r="C476" s="414"/>
      <c r="D476" s="414"/>
      <c r="E476" s="414"/>
      <c r="F476" s="414"/>
      <c r="G476" s="413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  <c r="T476" s="413"/>
      <c r="U476" s="413"/>
      <c r="V476" s="413"/>
      <c r="W476" s="413"/>
      <c r="X476" s="413"/>
      <c r="Y476" s="413"/>
      <c r="Z476" s="413"/>
    </row>
    <row r="477" ht="12.0" customHeight="1">
      <c r="A477" s="413"/>
      <c r="B477" s="413"/>
      <c r="C477" s="414"/>
      <c r="D477" s="414"/>
      <c r="E477" s="414"/>
      <c r="F477" s="414"/>
      <c r="G477" s="413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  <c r="T477" s="413"/>
      <c r="U477" s="413"/>
      <c r="V477" s="413"/>
      <c r="W477" s="413"/>
      <c r="X477" s="413"/>
      <c r="Y477" s="413"/>
      <c r="Z477" s="413"/>
    </row>
    <row r="478" ht="12.0" customHeight="1">
      <c r="A478" s="413"/>
      <c r="B478" s="413"/>
      <c r="C478" s="414"/>
      <c r="D478" s="414"/>
      <c r="E478" s="414"/>
      <c r="F478" s="414"/>
      <c r="G478" s="413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  <c r="T478" s="413"/>
      <c r="U478" s="413"/>
      <c r="V478" s="413"/>
      <c r="W478" s="413"/>
      <c r="X478" s="413"/>
      <c r="Y478" s="413"/>
      <c r="Z478" s="413"/>
    </row>
    <row r="479" ht="12.0" customHeight="1">
      <c r="A479" s="413"/>
      <c r="B479" s="413"/>
      <c r="C479" s="414"/>
      <c r="D479" s="414"/>
      <c r="E479" s="414"/>
      <c r="F479" s="414"/>
      <c r="G479" s="413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  <c r="T479" s="413"/>
      <c r="U479" s="413"/>
      <c r="V479" s="413"/>
      <c r="W479" s="413"/>
      <c r="X479" s="413"/>
      <c r="Y479" s="413"/>
      <c r="Z479" s="413"/>
    </row>
    <row r="480" ht="12.0" customHeight="1">
      <c r="A480" s="413"/>
      <c r="B480" s="413"/>
      <c r="C480" s="414"/>
      <c r="D480" s="414"/>
      <c r="E480" s="414"/>
      <c r="F480" s="414"/>
      <c r="G480" s="413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</row>
    <row r="481" ht="12.0" customHeight="1">
      <c r="A481" s="413"/>
      <c r="B481" s="413"/>
      <c r="C481" s="414"/>
      <c r="D481" s="414"/>
      <c r="E481" s="414"/>
      <c r="F481" s="414"/>
      <c r="G481" s="413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  <c r="T481" s="413"/>
      <c r="U481" s="413"/>
      <c r="V481" s="413"/>
      <c r="W481" s="413"/>
      <c r="X481" s="413"/>
      <c r="Y481" s="413"/>
      <c r="Z481" s="413"/>
    </row>
    <row r="482" ht="12.0" customHeight="1">
      <c r="A482" s="413"/>
      <c r="B482" s="413"/>
      <c r="C482" s="414"/>
      <c r="D482" s="414"/>
      <c r="E482" s="414"/>
      <c r="F482" s="414"/>
      <c r="G482" s="41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3"/>
      <c r="U482" s="413"/>
      <c r="V482" s="413"/>
      <c r="W482" s="413"/>
      <c r="X482" s="413"/>
      <c r="Y482" s="413"/>
      <c r="Z482" s="413"/>
    </row>
    <row r="483" ht="12.0" customHeight="1">
      <c r="A483" s="413"/>
      <c r="B483" s="413"/>
      <c r="C483" s="414"/>
      <c r="D483" s="414"/>
      <c r="E483" s="414"/>
      <c r="F483" s="414"/>
      <c r="G483" s="413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  <c r="T483" s="413"/>
      <c r="U483" s="413"/>
      <c r="V483" s="413"/>
      <c r="W483" s="413"/>
      <c r="X483" s="413"/>
      <c r="Y483" s="413"/>
      <c r="Z483" s="413"/>
    </row>
    <row r="484" ht="12.0" customHeight="1">
      <c r="A484" s="413"/>
      <c r="B484" s="413"/>
      <c r="C484" s="414"/>
      <c r="D484" s="414"/>
      <c r="E484" s="414"/>
      <c r="F484" s="414"/>
      <c r="G484" s="413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  <c r="T484" s="413"/>
      <c r="U484" s="413"/>
      <c r="V484" s="413"/>
      <c r="W484" s="413"/>
      <c r="X484" s="413"/>
      <c r="Y484" s="413"/>
      <c r="Z484" s="413"/>
    </row>
    <row r="485" ht="12.0" customHeight="1">
      <c r="A485" s="413"/>
      <c r="B485" s="413"/>
      <c r="C485" s="414"/>
      <c r="D485" s="414"/>
      <c r="E485" s="414"/>
      <c r="F485" s="414"/>
      <c r="G485" s="413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  <c r="T485" s="413"/>
      <c r="U485" s="413"/>
      <c r="V485" s="413"/>
      <c r="W485" s="413"/>
      <c r="X485" s="413"/>
      <c r="Y485" s="413"/>
      <c r="Z485" s="413"/>
    </row>
    <row r="486" ht="12.0" customHeight="1">
      <c r="A486" s="413"/>
      <c r="B486" s="413"/>
      <c r="C486" s="414"/>
      <c r="D486" s="414"/>
      <c r="E486" s="414"/>
      <c r="F486" s="414"/>
      <c r="G486" s="413"/>
      <c r="H486" s="413"/>
      <c r="I486" s="413"/>
      <c r="J486" s="413"/>
      <c r="K486" s="413"/>
      <c r="L486" s="413"/>
      <c r="M486" s="413"/>
      <c r="N486" s="413"/>
      <c r="O486" s="413"/>
      <c r="P486" s="413"/>
      <c r="Q486" s="413"/>
      <c r="R486" s="413"/>
      <c r="S486" s="413"/>
      <c r="T486" s="413"/>
      <c r="U486" s="413"/>
      <c r="V486" s="413"/>
      <c r="W486" s="413"/>
      <c r="X486" s="413"/>
      <c r="Y486" s="413"/>
      <c r="Z486" s="413"/>
    </row>
    <row r="487" ht="12.0" customHeight="1">
      <c r="A487" s="413"/>
      <c r="B487" s="413"/>
      <c r="C487" s="414"/>
      <c r="D487" s="414"/>
      <c r="E487" s="414"/>
      <c r="F487" s="414"/>
      <c r="G487" s="413"/>
      <c r="H487" s="413"/>
      <c r="I487" s="413"/>
      <c r="J487" s="413"/>
      <c r="K487" s="413"/>
      <c r="L487" s="413"/>
      <c r="M487" s="413"/>
      <c r="N487" s="413"/>
      <c r="O487" s="413"/>
      <c r="P487" s="413"/>
      <c r="Q487" s="413"/>
      <c r="R487" s="413"/>
      <c r="S487" s="413"/>
      <c r="T487" s="413"/>
      <c r="U487" s="413"/>
      <c r="V487" s="413"/>
      <c r="W487" s="413"/>
      <c r="X487" s="413"/>
      <c r="Y487" s="413"/>
      <c r="Z487" s="413"/>
    </row>
    <row r="488" ht="12.0" customHeight="1">
      <c r="A488" s="413"/>
      <c r="B488" s="413"/>
      <c r="C488" s="414"/>
      <c r="D488" s="414"/>
      <c r="E488" s="414"/>
      <c r="F488" s="414"/>
      <c r="G488" s="413"/>
      <c r="H488" s="413"/>
      <c r="I488" s="413"/>
      <c r="J488" s="413"/>
      <c r="K488" s="413"/>
      <c r="L488" s="413"/>
      <c r="M488" s="413"/>
      <c r="N488" s="413"/>
      <c r="O488" s="413"/>
      <c r="P488" s="413"/>
      <c r="Q488" s="413"/>
      <c r="R488" s="413"/>
      <c r="S488" s="413"/>
      <c r="T488" s="413"/>
      <c r="U488" s="413"/>
      <c r="V488" s="413"/>
      <c r="W488" s="413"/>
      <c r="X488" s="413"/>
      <c r="Y488" s="413"/>
      <c r="Z488" s="413"/>
    </row>
    <row r="489" ht="12.0" customHeight="1">
      <c r="A489" s="413"/>
      <c r="B489" s="413"/>
      <c r="C489" s="414"/>
      <c r="D489" s="414"/>
      <c r="E489" s="414"/>
      <c r="F489" s="414"/>
      <c r="G489" s="413"/>
      <c r="H489" s="413"/>
      <c r="I489" s="413"/>
      <c r="J489" s="413"/>
      <c r="K489" s="413"/>
      <c r="L489" s="413"/>
      <c r="M489" s="413"/>
      <c r="N489" s="413"/>
      <c r="O489" s="413"/>
      <c r="P489" s="413"/>
      <c r="Q489" s="413"/>
      <c r="R489" s="413"/>
      <c r="S489" s="413"/>
      <c r="T489" s="413"/>
      <c r="U489" s="413"/>
      <c r="V489" s="413"/>
      <c r="W489" s="413"/>
      <c r="X489" s="413"/>
      <c r="Y489" s="413"/>
      <c r="Z489" s="413"/>
    </row>
    <row r="490" ht="12.0" customHeight="1">
      <c r="A490" s="413"/>
      <c r="B490" s="413"/>
      <c r="C490" s="414"/>
      <c r="D490" s="414"/>
      <c r="E490" s="414"/>
      <c r="F490" s="414"/>
      <c r="G490" s="413"/>
      <c r="H490" s="413"/>
      <c r="I490" s="413"/>
      <c r="J490" s="413"/>
      <c r="K490" s="413"/>
      <c r="L490" s="413"/>
      <c r="M490" s="413"/>
      <c r="N490" s="413"/>
      <c r="O490" s="413"/>
      <c r="P490" s="413"/>
      <c r="Q490" s="413"/>
      <c r="R490" s="413"/>
      <c r="S490" s="413"/>
      <c r="T490" s="413"/>
      <c r="U490" s="413"/>
      <c r="V490" s="413"/>
      <c r="W490" s="413"/>
      <c r="X490" s="413"/>
      <c r="Y490" s="413"/>
      <c r="Z490" s="413"/>
    </row>
    <row r="491" ht="12.0" customHeight="1">
      <c r="A491" s="413"/>
      <c r="B491" s="413"/>
      <c r="C491" s="414"/>
      <c r="D491" s="414"/>
      <c r="E491" s="414"/>
      <c r="F491" s="414"/>
      <c r="G491" s="413"/>
      <c r="H491" s="413"/>
      <c r="I491" s="413"/>
      <c r="J491" s="413"/>
      <c r="K491" s="413"/>
      <c r="L491" s="413"/>
      <c r="M491" s="413"/>
      <c r="N491" s="413"/>
      <c r="O491" s="413"/>
      <c r="P491" s="413"/>
      <c r="Q491" s="413"/>
      <c r="R491" s="413"/>
      <c r="S491" s="413"/>
      <c r="T491" s="413"/>
      <c r="U491" s="413"/>
      <c r="V491" s="413"/>
      <c r="W491" s="413"/>
      <c r="X491" s="413"/>
      <c r="Y491" s="413"/>
      <c r="Z491" s="413"/>
    </row>
    <row r="492" ht="12.0" customHeight="1">
      <c r="A492" s="413"/>
      <c r="B492" s="413"/>
      <c r="C492" s="414"/>
      <c r="D492" s="414"/>
      <c r="E492" s="414"/>
      <c r="F492" s="414"/>
      <c r="G492" s="413"/>
      <c r="H492" s="413"/>
      <c r="I492" s="413"/>
      <c r="J492" s="413"/>
      <c r="K492" s="413"/>
      <c r="L492" s="413"/>
      <c r="M492" s="413"/>
      <c r="N492" s="413"/>
      <c r="O492" s="413"/>
      <c r="P492" s="413"/>
      <c r="Q492" s="413"/>
      <c r="R492" s="413"/>
      <c r="S492" s="413"/>
      <c r="T492" s="413"/>
      <c r="U492" s="413"/>
      <c r="V492" s="413"/>
      <c r="W492" s="413"/>
      <c r="X492" s="413"/>
      <c r="Y492" s="413"/>
      <c r="Z492" s="413"/>
    </row>
    <row r="493" ht="12.0" customHeight="1">
      <c r="A493" s="413"/>
      <c r="B493" s="413"/>
      <c r="C493" s="414"/>
      <c r="D493" s="414"/>
      <c r="E493" s="414"/>
      <c r="F493" s="414"/>
      <c r="G493" s="413"/>
      <c r="H493" s="413"/>
      <c r="I493" s="413"/>
      <c r="J493" s="413"/>
      <c r="K493" s="413"/>
      <c r="L493" s="413"/>
      <c r="M493" s="413"/>
      <c r="N493" s="413"/>
      <c r="O493" s="413"/>
      <c r="P493" s="413"/>
      <c r="Q493" s="413"/>
      <c r="R493" s="413"/>
      <c r="S493" s="413"/>
      <c r="T493" s="413"/>
      <c r="U493" s="413"/>
      <c r="V493" s="413"/>
      <c r="W493" s="413"/>
      <c r="X493" s="413"/>
      <c r="Y493" s="413"/>
      <c r="Z493" s="413"/>
    </row>
    <row r="494" ht="12.0" customHeight="1">
      <c r="A494" s="413"/>
      <c r="B494" s="413"/>
      <c r="C494" s="414"/>
      <c r="D494" s="414"/>
      <c r="E494" s="414"/>
      <c r="F494" s="414"/>
      <c r="G494" s="413"/>
      <c r="H494" s="413"/>
      <c r="I494" s="413"/>
      <c r="J494" s="413"/>
      <c r="K494" s="413"/>
      <c r="L494" s="413"/>
      <c r="M494" s="413"/>
      <c r="N494" s="413"/>
      <c r="O494" s="413"/>
      <c r="P494" s="413"/>
      <c r="Q494" s="413"/>
      <c r="R494" s="413"/>
      <c r="S494" s="413"/>
      <c r="T494" s="413"/>
      <c r="U494" s="413"/>
      <c r="V494" s="413"/>
      <c r="W494" s="413"/>
      <c r="X494" s="413"/>
      <c r="Y494" s="413"/>
      <c r="Z494" s="413"/>
    </row>
    <row r="495" ht="12.0" customHeight="1">
      <c r="A495" s="413"/>
      <c r="B495" s="413"/>
      <c r="C495" s="414"/>
      <c r="D495" s="414"/>
      <c r="E495" s="414"/>
      <c r="F495" s="414"/>
      <c r="G495" s="413"/>
      <c r="H495" s="413"/>
      <c r="I495" s="413"/>
      <c r="J495" s="413"/>
      <c r="K495" s="413"/>
      <c r="L495" s="413"/>
      <c r="M495" s="413"/>
      <c r="N495" s="413"/>
      <c r="O495" s="413"/>
      <c r="P495" s="413"/>
      <c r="Q495" s="413"/>
      <c r="R495" s="413"/>
      <c r="S495" s="413"/>
      <c r="T495" s="413"/>
      <c r="U495" s="413"/>
      <c r="V495" s="413"/>
      <c r="W495" s="413"/>
      <c r="X495" s="413"/>
      <c r="Y495" s="413"/>
      <c r="Z495" s="413"/>
    </row>
    <row r="496" ht="12.0" customHeight="1">
      <c r="A496" s="413"/>
      <c r="B496" s="413"/>
      <c r="C496" s="414"/>
      <c r="D496" s="414"/>
      <c r="E496" s="414"/>
      <c r="F496" s="414"/>
      <c r="G496" s="413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  <c r="T496" s="413"/>
      <c r="U496" s="413"/>
      <c r="V496" s="413"/>
      <c r="W496" s="413"/>
      <c r="X496" s="413"/>
      <c r="Y496" s="413"/>
      <c r="Z496" s="413"/>
    </row>
    <row r="497" ht="12.0" customHeight="1">
      <c r="A497" s="413"/>
      <c r="B497" s="413"/>
      <c r="C497" s="414"/>
      <c r="D497" s="414"/>
      <c r="E497" s="414"/>
      <c r="F497" s="414"/>
      <c r="G497" s="413"/>
      <c r="H497" s="413"/>
      <c r="I497" s="413"/>
      <c r="J497" s="413"/>
      <c r="K497" s="413"/>
      <c r="L497" s="413"/>
      <c r="M497" s="413"/>
      <c r="N497" s="413"/>
      <c r="O497" s="413"/>
      <c r="P497" s="413"/>
      <c r="Q497" s="413"/>
      <c r="R497" s="413"/>
      <c r="S497" s="413"/>
      <c r="T497" s="413"/>
      <c r="U497" s="413"/>
      <c r="V497" s="413"/>
      <c r="W497" s="413"/>
      <c r="X497" s="413"/>
      <c r="Y497" s="413"/>
      <c r="Z497" s="413"/>
    </row>
    <row r="498" ht="12.0" customHeight="1">
      <c r="A498" s="413"/>
      <c r="B498" s="413"/>
      <c r="C498" s="414"/>
      <c r="D498" s="414"/>
      <c r="E498" s="414"/>
      <c r="F498" s="414"/>
      <c r="G498" s="413"/>
      <c r="H498" s="413"/>
      <c r="I498" s="413"/>
      <c r="J498" s="413"/>
      <c r="K498" s="413"/>
      <c r="L498" s="413"/>
      <c r="M498" s="413"/>
      <c r="N498" s="413"/>
      <c r="O498" s="413"/>
      <c r="P498" s="413"/>
      <c r="Q498" s="413"/>
      <c r="R498" s="413"/>
      <c r="S498" s="413"/>
      <c r="T498" s="413"/>
      <c r="U498" s="413"/>
      <c r="V498" s="413"/>
      <c r="W498" s="413"/>
      <c r="X498" s="413"/>
      <c r="Y498" s="413"/>
      <c r="Z498" s="413"/>
    </row>
    <row r="499" ht="12.0" customHeight="1">
      <c r="A499" s="413"/>
      <c r="B499" s="413"/>
      <c r="C499" s="414"/>
      <c r="D499" s="414"/>
      <c r="E499" s="414"/>
      <c r="F499" s="414"/>
      <c r="G499" s="413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  <c r="T499" s="413"/>
      <c r="U499" s="413"/>
      <c r="V499" s="413"/>
      <c r="W499" s="413"/>
      <c r="X499" s="413"/>
      <c r="Y499" s="413"/>
      <c r="Z499" s="413"/>
    </row>
    <row r="500" ht="12.0" customHeight="1">
      <c r="A500" s="413"/>
      <c r="B500" s="413"/>
      <c r="C500" s="414"/>
      <c r="D500" s="414"/>
      <c r="E500" s="414"/>
      <c r="F500" s="414"/>
      <c r="G500" s="413"/>
      <c r="H500" s="413"/>
      <c r="I500" s="413"/>
      <c r="J500" s="413"/>
      <c r="K500" s="413"/>
      <c r="L500" s="413"/>
      <c r="M500" s="413"/>
      <c r="N500" s="413"/>
      <c r="O500" s="413"/>
      <c r="P500" s="413"/>
      <c r="Q500" s="413"/>
      <c r="R500" s="413"/>
      <c r="S500" s="413"/>
      <c r="T500" s="413"/>
      <c r="U500" s="413"/>
      <c r="V500" s="413"/>
      <c r="W500" s="413"/>
      <c r="X500" s="413"/>
      <c r="Y500" s="413"/>
      <c r="Z500" s="413"/>
    </row>
    <row r="501" ht="12.0" customHeight="1">
      <c r="A501" s="413"/>
      <c r="B501" s="413"/>
      <c r="C501" s="414"/>
      <c r="D501" s="414"/>
      <c r="E501" s="414"/>
      <c r="F501" s="414"/>
      <c r="G501" s="413"/>
      <c r="H501" s="413"/>
      <c r="I501" s="413"/>
      <c r="J501" s="413"/>
      <c r="K501" s="413"/>
      <c r="L501" s="413"/>
      <c r="M501" s="413"/>
      <c r="N501" s="413"/>
      <c r="O501" s="413"/>
      <c r="P501" s="413"/>
      <c r="Q501" s="413"/>
      <c r="R501" s="413"/>
      <c r="S501" s="413"/>
      <c r="T501" s="413"/>
      <c r="U501" s="413"/>
      <c r="V501" s="413"/>
      <c r="W501" s="413"/>
      <c r="X501" s="413"/>
      <c r="Y501" s="413"/>
      <c r="Z501" s="413"/>
    </row>
    <row r="502" ht="12.0" customHeight="1">
      <c r="A502" s="413"/>
      <c r="B502" s="413"/>
      <c r="C502" s="414"/>
      <c r="D502" s="414"/>
      <c r="E502" s="414"/>
      <c r="F502" s="414"/>
      <c r="G502" s="413"/>
      <c r="H502" s="413"/>
      <c r="I502" s="413"/>
      <c r="J502" s="413"/>
      <c r="K502" s="413"/>
      <c r="L502" s="413"/>
      <c r="M502" s="413"/>
      <c r="N502" s="413"/>
      <c r="O502" s="413"/>
      <c r="P502" s="413"/>
      <c r="Q502" s="413"/>
      <c r="R502" s="413"/>
      <c r="S502" s="413"/>
      <c r="T502" s="413"/>
      <c r="U502" s="413"/>
      <c r="V502" s="413"/>
      <c r="W502" s="413"/>
      <c r="X502" s="413"/>
      <c r="Y502" s="413"/>
      <c r="Z502" s="413"/>
    </row>
    <row r="503" ht="12.0" customHeight="1">
      <c r="A503" s="413"/>
      <c r="B503" s="413"/>
      <c r="C503" s="414"/>
      <c r="D503" s="414"/>
      <c r="E503" s="414"/>
      <c r="F503" s="414"/>
      <c r="G503" s="413"/>
      <c r="H503" s="413"/>
      <c r="I503" s="413"/>
      <c r="J503" s="413"/>
      <c r="K503" s="413"/>
      <c r="L503" s="413"/>
      <c r="M503" s="413"/>
      <c r="N503" s="413"/>
      <c r="O503" s="413"/>
      <c r="P503" s="413"/>
      <c r="Q503" s="413"/>
      <c r="R503" s="413"/>
      <c r="S503" s="413"/>
      <c r="T503" s="413"/>
      <c r="U503" s="413"/>
      <c r="V503" s="413"/>
      <c r="W503" s="413"/>
      <c r="X503" s="413"/>
      <c r="Y503" s="413"/>
      <c r="Z503" s="413"/>
    </row>
    <row r="504" ht="12.0" customHeight="1">
      <c r="A504" s="413"/>
      <c r="B504" s="413"/>
      <c r="C504" s="414"/>
      <c r="D504" s="414"/>
      <c r="E504" s="414"/>
      <c r="F504" s="414"/>
      <c r="G504" s="413"/>
      <c r="H504" s="413"/>
      <c r="I504" s="413"/>
      <c r="J504" s="413"/>
      <c r="K504" s="413"/>
      <c r="L504" s="413"/>
      <c r="M504" s="413"/>
      <c r="N504" s="413"/>
      <c r="O504" s="413"/>
      <c r="P504" s="413"/>
      <c r="Q504" s="413"/>
      <c r="R504" s="413"/>
      <c r="S504" s="413"/>
      <c r="T504" s="413"/>
      <c r="U504" s="413"/>
      <c r="V504" s="413"/>
      <c r="W504" s="413"/>
      <c r="X504" s="413"/>
      <c r="Y504" s="413"/>
      <c r="Z504" s="413"/>
    </row>
    <row r="505" ht="12.0" customHeight="1">
      <c r="A505" s="413"/>
      <c r="B505" s="413"/>
      <c r="C505" s="414"/>
      <c r="D505" s="414"/>
      <c r="E505" s="414"/>
      <c r="F505" s="414"/>
      <c r="G505" s="413"/>
      <c r="H505" s="413"/>
      <c r="I505" s="413"/>
      <c r="J505" s="413"/>
      <c r="K505" s="413"/>
      <c r="L505" s="413"/>
      <c r="M505" s="413"/>
      <c r="N505" s="413"/>
      <c r="O505" s="413"/>
      <c r="P505" s="413"/>
      <c r="Q505" s="413"/>
      <c r="R505" s="413"/>
      <c r="S505" s="413"/>
      <c r="T505" s="413"/>
      <c r="U505" s="413"/>
      <c r="V505" s="413"/>
      <c r="W505" s="413"/>
      <c r="X505" s="413"/>
      <c r="Y505" s="413"/>
      <c r="Z505" s="413"/>
    </row>
    <row r="506" ht="12.0" customHeight="1">
      <c r="A506" s="413"/>
      <c r="B506" s="413"/>
      <c r="C506" s="414"/>
      <c r="D506" s="414"/>
      <c r="E506" s="414"/>
      <c r="F506" s="414"/>
      <c r="G506" s="413"/>
      <c r="H506" s="413"/>
      <c r="I506" s="413"/>
      <c r="J506" s="413"/>
      <c r="K506" s="413"/>
      <c r="L506" s="413"/>
      <c r="M506" s="413"/>
      <c r="N506" s="413"/>
      <c r="O506" s="413"/>
      <c r="P506" s="413"/>
      <c r="Q506" s="413"/>
      <c r="R506" s="413"/>
      <c r="S506" s="413"/>
      <c r="T506" s="413"/>
      <c r="U506" s="413"/>
      <c r="V506" s="413"/>
      <c r="W506" s="413"/>
      <c r="X506" s="413"/>
      <c r="Y506" s="413"/>
      <c r="Z506" s="413"/>
    </row>
    <row r="507" ht="12.0" customHeight="1">
      <c r="A507" s="413"/>
      <c r="B507" s="413"/>
      <c r="C507" s="414"/>
      <c r="D507" s="414"/>
      <c r="E507" s="414"/>
      <c r="F507" s="414"/>
      <c r="G507" s="413"/>
      <c r="H507" s="413"/>
      <c r="I507" s="413"/>
      <c r="J507" s="413"/>
      <c r="K507" s="413"/>
      <c r="L507" s="413"/>
      <c r="M507" s="413"/>
      <c r="N507" s="413"/>
      <c r="O507" s="413"/>
      <c r="P507" s="413"/>
      <c r="Q507" s="413"/>
      <c r="R507" s="413"/>
      <c r="S507" s="413"/>
      <c r="T507" s="413"/>
      <c r="U507" s="413"/>
      <c r="V507" s="413"/>
      <c r="W507" s="413"/>
      <c r="X507" s="413"/>
      <c r="Y507" s="413"/>
      <c r="Z507" s="413"/>
    </row>
    <row r="508" ht="12.0" customHeight="1">
      <c r="A508" s="413"/>
      <c r="B508" s="413"/>
      <c r="C508" s="414"/>
      <c r="D508" s="414"/>
      <c r="E508" s="414"/>
      <c r="F508" s="414"/>
      <c r="G508" s="413"/>
      <c r="H508" s="413"/>
      <c r="I508" s="413"/>
      <c r="J508" s="413"/>
      <c r="K508" s="413"/>
      <c r="L508" s="413"/>
      <c r="M508" s="413"/>
      <c r="N508" s="413"/>
      <c r="O508" s="413"/>
      <c r="P508" s="413"/>
      <c r="Q508" s="413"/>
      <c r="R508" s="413"/>
      <c r="S508" s="413"/>
      <c r="T508" s="413"/>
      <c r="U508" s="413"/>
      <c r="V508" s="413"/>
      <c r="W508" s="413"/>
      <c r="X508" s="413"/>
      <c r="Y508" s="413"/>
      <c r="Z508" s="413"/>
    </row>
    <row r="509" ht="12.0" customHeight="1">
      <c r="A509" s="413"/>
      <c r="B509" s="413"/>
      <c r="C509" s="414"/>
      <c r="D509" s="414"/>
      <c r="E509" s="414"/>
      <c r="F509" s="414"/>
      <c r="G509" s="413"/>
      <c r="H509" s="413"/>
      <c r="I509" s="413"/>
      <c r="J509" s="413"/>
      <c r="K509" s="413"/>
      <c r="L509" s="413"/>
      <c r="M509" s="413"/>
      <c r="N509" s="413"/>
      <c r="O509" s="413"/>
      <c r="P509" s="413"/>
      <c r="Q509" s="413"/>
      <c r="R509" s="413"/>
      <c r="S509" s="413"/>
      <c r="T509" s="413"/>
      <c r="U509" s="413"/>
      <c r="V509" s="413"/>
      <c r="W509" s="413"/>
      <c r="X509" s="413"/>
      <c r="Y509" s="413"/>
      <c r="Z509" s="413"/>
    </row>
    <row r="510" ht="12.0" customHeight="1">
      <c r="A510" s="413"/>
      <c r="B510" s="413"/>
      <c r="C510" s="414"/>
      <c r="D510" s="414"/>
      <c r="E510" s="414"/>
      <c r="F510" s="414"/>
      <c r="G510" s="413"/>
      <c r="H510" s="413"/>
      <c r="I510" s="413"/>
      <c r="J510" s="413"/>
      <c r="K510" s="413"/>
      <c r="L510" s="413"/>
      <c r="M510" s="413"/>
      <c r="N510" s="413"/>
      <c r="O510" s="413"/>
      <c r="P510" s="413"/>
      <c r="Q510" s="413"/>
      <c r="R510" s="413"/>
      <c r="S510" s="413"/>
      <c r="T510" s="413"/>
      <c r="U510" s="413"/>
      <c r="V510" s="413"/>
      <c r="W510" s="413"/>
      <c r="X510" s="413"/>
      <c r="Y510" s="413"/>
      <c r="Z510" s="413"/>
    </row>
    <row r="511" ht="12.0" customHeight="1">
      <c r="A511" s="413"/>
      <c r="B511" s="413"/>
      <c r="C511" s="414"/>
      <c r="D511" s="414"/>
      <c r="E511" s="414"/>
      <c r="F511" s="414"/>
      <c r="G511" s="413"/>
      <c r="H511" s="413"/>
      <c r="I511" s="413"/>
      <c r="J511" s="413"/>
      <c r="K511" s="413"/>
      <c r="L511" s="413"/>
      <c r="M511" s="413"/>
      <c r="N511" s="413"/>
      <c r="O511" s="413"/>
      <c r="P511" s="413"/>
      <c r="Q511" s="413"/>
      <c r="R511" s="413"/>
      <c r="S511" s="413"/>
      <c r="T511" s="413"/>
      <c r="U511" s="413"/>
      <c r="V511" s="413"/>
      <c r="W511" s="413"/>
      <c r="X511" s="413"/>
      <c r="Y511" s="413"/>
      <c r="Z511" s="413"/>
    </row>
    <row r="512" ht="12.0" customHeight="1">
      <c r="A512" s="413"/>
      <c r="B512" s="413"/>
      <c r="C512" s="414"/>
      <c r="D512" s="414"/>
      <c r="E512" s="414"/>
      <c r="F512" s="414"/>
      <c r="G512" s="413"/>
      <c r="H512" s="413"/>
      <c r="I512" s="413"/>
      <c r="J512" s="413"/>
      <c r="K512" s="413"/>
      <c r="L512" s="413"/>
      <c r="M512" s="413"/>
      <c r="N512" s="413"/>
      <c r="O512" s="413"/>
      <c r="P512" s="413"/>
      <c r="Q512" s="413"/>
      <c r="R512" s="413"/>
      <c r="S512" s="413"/>
      <c r="T512" s="413"/>
      <c r="U512" s="413"/>
      <c r="V512" s="413"/>
      <c r="W512" s="413"/>
      <c r="X512" s="413"/>
      <c r="Y512" s="413"/>
      <c r="Z512" s="413"/>
    </row>
    <row r="513" ht="12.0" customHeight="1">
      <c r="A513" s="413"/>
      <c r="B513" s="413"/>
      <c r="C513" s="414"/>
      <c r="D513" s="414"/>
      <c r="E513" s="414"/>
      <c r="F513" s="414"/>
      <c r="G513" s="413"/>
      <c r="H513" s="413"/>
      <c r="I513" s="413"/>
      <c r="J513" s="413"/>
      <c r="K513" s="413"/>
      <c r="L513" s="413"/>
      <c r="M513" s="413"/>
      <c r="N513" s="413"/>
      <c r="O513" s="413"/>
      <c r="P513" s="413"/>
      <c r="Q513" s="413"/>
      <c r="R513" s="413"/>
      <c r="S513" s="413"/>
      <c r="T513" s="413"/>
      <c r="U513" s="413"/>
      <c r="V513" s="413"/>
      <c r="W513" s="413"/>
      <c r="X513" s="413"/>
      <c r="Y513" s="413"/>
      <c r="Z513" s="413"/>
    </row>
    <row r="514" ht="12.0" customHeight="1">
      <c r="A514" s="413"/>
      <c r="B514" s="413"/>
      <c r="C514" s="414"/>
      <c r="D514" s="414"/>
      <c r="E514" s="414"/>
      <c r="F514" s="414"/>
      <c r="G514" s="413"/>
      <c r="H514" s="413"/>
      <c r="I514" s="413"/>
      <c r="J514" s="413"/>
      <c r="K514" s="413"/>
      <c r="L514" s="413"/>
      <c r="M514" s="413"/>
      <c r="N514" s="413"/>
      <c r="O514" s="413"/>
      <c r="P514" s="413"/>
      <c r="Q514" s="413"/>
      <c r="R514" s="413"/>
      <c r="S514" s="413"/>
      <c r="T514" s="413"/>
      <c r="U514" s="413"/>
      <c r="V514" s="413"/>
      <c r="W514" s="413"/>
      <c r="X514" s="413"/>
      <c r="Y514" s="413"/>
      <c r="Z514" s="413"/>
    </row>
    <row r="515" ht="12.0" customHeight="1">
      <c r="A515" s="413"/>
      <c r="B515" s="413"/>
      <c r="C515" s="414"/>
      <c r="D515" s="414"/>
      <c r="E515" s="414"/>
      <c r="F515" s="414"/>
      <c r="G515" s="413"/>
      <c r="H515" s="413"/>
      <c r="I515" s="413"/>
      <c r="J515" s="413"/>
      <c r="K515" s="413"/>
      <c r="L515" s="413"/>
      <c r="M515" s="413"/>
      <c r="N515" s="413"/>
      <c r="O515" s="413"/>
      <c r="P515" s="413"/>
      <c r="Q515" s="413"/>
      <c r="R515" s="413"/>
      <c r="S515" s="413"/>
      <c r="T515" s="413"/>
      <c r="U515" s="413"/>
      <c r="V515" s="413"/>
      <c r="W515" s="413"/>
      <c r="X515" s="413"/>
      <c r="Y515" s="413"/>
      <c r="Z515" s="413"/>
    </row>
    <row r="516" ht="12.0" customHeight="1">
      <c r="A516" s="413"/>
      <c r="B516" s="413"/>
      <c r="C516" s="414"/>
      <c r="D516" s="414"/>
      <c r="E516" s="414"/>
      <c r="F516" s="414"/>
      <c r="G516" s="413"/>
      <c r="H516" s="413"/>
      <c r="I516" s="413"/>
      <c r="J516" s="413"/>
      <c r="K516" s="413"/>
      <c r="L516" s="413"/>
      <c r="M516" s="413"/>
      <c r="N516" s="413"/>
      <c r="O516" s="413"/>
      <c r="P516" s="413"/>
      <c r="Q516" s="413"/>
      <c r="R516" s="413"/>
      <c r="S516" s="413"/>
      <c r="T516" s="413"/>
      <c r="U516" s="413"/>
      <c r="V516" s="413"/>
      <c r="W516" s="413"/>
      <c r="X516" s="413"/>
      <c r="Y516" s="413"/>
      <c r="Z516" s="413"/>
    </row>
    <row r="517" ht="12.0" customHeight="1">
      <c r="A517" s="413"/>
      <c r="B517" s="413"/>
      <c r="C517" s="414"/>
      <c r="D517" s="414"/>
      <c r="E517" s="414"/>
      <c r="F517" s="414"/>
      <c r="G517" s="413"/>
      <c r="H517" s="413"/>
      <c r="I517" s="413"/>
      <c r="J517" s="413"/>
      <c r="K517" s="413"/>
      <c r="L517" s="413"/>
      <c r="M517" s="413"/>
      <c r="N517" s="413"/>
      <c r="O517" s="413"/>
      <c r="P517" s="413"/>
      <c r="Q517" s="413"/>
      <c r="R517" s="413"/>
      <c r="S517" s="413"/>
      <c r="T517" s="413"/>
      <c r="U517" s="413"/>
      <c r="V517" s="413"/>
      <c r="W517" s="413"/>
      <c r="X517" s="413"/>
      <c r="Y517" s="413"/>
      <c r="Z517" s="413"/>
    </row>
    <row r="518" ht="12.0" customHeight="1">
      <c r="A518" s="413"/>
      <c r="B518" s="413"/>
      <c r="C518" s="414"/>
      <c r="D518" s="414"/>
      <c r="E518" s="414"/>
      <c r="F518" s="414"/>
      <c r="G518" s="413"/>
      <c r="H518" s="413"/>
      <c r="I518" s="413"/>
      <c r="J518" s="413"/>
      <c r="K518" s="413"/>
      <c r="L518" s="413"/>
      <c r="M518" s="413"/>
      <c r="N518" s="413"/>
      <c r="O518" s="413"/>
      <c r="P518" s="413"/>
      <c r="Q518" s="413"/>
      <c r="R518" s="413"/>
      <c r="S518" s="413"/>
      <c r="T518" s="413"/>
      <c r="U518" s="413"/>
      <c r="V518" s="413"/>
      <c r="W518" s="413"/>
      <c r="X518" s="413"/>
      <c r="Y518" s="413"/>
      <c r="Z518" s="413"/>
    </row>
    <row r="519" ht="12.0" customHeight="1">
      <c r="A519" s="413"/>
      <c r="B519" s="413"/>
      <c r="C519" s="414"/>
      <c r="D519" s="414"/>
      <c r="E519" s="414"/>
      <c r="F519" s="414"/>
      <c r="G519" s="413"/>
      <c r="H519" s="413"/>
      <c r="I519" s="413"/>
      <c r="J519" s="413"/>
      <c r="K519" s="413"/>
      <c r="L519" s="413"/>
      <c r="M519" s="413"/>
      <c r="N519" s="413"/>
      <c r="O519" s="413"/>
      <c r="P519" s="413"/>
      <c r="Q519" s="413"/>
      <c r="R519" s="413"/>
      <c r="S519" s="413"/>
      <c r="T519" s="413"/>
      <c r="U519" s="413"/>
      <c r="V519" s="413"/>
      <c r="W519" s="413"/>
      <c r="X519" s="413"/>
      <c r="Y519" s="413"/>
      <c r="Z519" s="413"/>
    </row>
    <row r="520" ht="12.0" customHeight="1">
      <c r="A520" s="413"/>
      <c r="B520" s="413"/>
      <c r="C520" s="414"/>
      <c r="D520" s="414"/>
      <c r="E520" s="414"/>
      <c r="F520" s="414"/>
      <c r="G520" s="413"/>
      <c r="H520" s="413"/>
      <c r="I520" s="413"/>
      <c r="J520" s="413"/>
      <c r="K520" s="413"/>
      <c r="L520" s="413"/>
      <c r="M520" s="413"/>
      <c r="N520" s="413"/>
      <c r="O520" s="413"/>
      <c r="P520" s="413"/>
      <c r="Q520" s="413"/>
      <c r="R520" s="413"/>
      <c r="S520" s="413"/>
      <c r="T520" s="413"/>
      <c r="U520" s="413"/>
      <c r="V520" s="413"/>
      <c r="W520" s="413"/>
      <c r="X520" s="413"/>
      <c r="Y520" s="413"/>
      <c r="Z520" s="413"/>
    </row>
    <row r="521" ht="12.0" customHeight="1">
      <c r="A521" s="413"/>
      <c r="B521" s="413"/>
      <c r="C521" s="414"/>
      <c r="D521" s="414"/>
      <c r="E521" s="414"/>
      <c r="F521" s="414"/>
      <c r="G521" s="413"/>
      <c r="H521" s="413"/>
      <c r="I521" s="413"/>
      <c r="J521" s="413"/>
      <c r="K521" s="413"/>
      <c r="L521" s="413"/>
      <c r="M521" s="413"/>
      <c r="N521" s="413"/>
      <c r="O521" s="413"/>
      <c r="P521" s="413"/>
      <c r="Q521" s="413"/>
      <c r="R521" s="413"/>
      <c r="S521" s="413"/>
      <c r="T521" s="413"/>
      <c r="U521" s="413"/>
      <c r="V521" s="413"/>
      <c r="W521" s="413"/>
      <c r="X521" s="413"/>
      <c r="Y521" s="413"/>
      <c r="Z521" s="413"/>
    </row>
    <row r="522" ht="12.0" customHeight="1">
      <c r="A522" s="413"/>
      <c r="B522" s="413"/>
      <c r="C522" s="414"/>
      <c r="D522" s="414"/>
      <c r="E522" s="414"/>
      <c r="F522" s="414"/>
      <c r="G522" s="413"/>
      <c r="H522" s="413"/>
      <c r="I522" s="413"/>
      <c r="J522" s="413"/>
      <c r="K522" s="413"/>
      <c r="L522" s="413"/>
      <c r="M522" s="413"/>
      <c r="N522" s="413"/>
      <c r="O522" s="413"/>
      <c r="P522" s="413"/>
      <c r="Q522" s="413"/>
      <c r="R522" s="413"/>
      <c r="S522" s="413"/>
      <c r="T522" s="413"/>
      <c r="U522" s="413"/>
      <c r="V522" s="413"/>
      <c r="W522" s="413"/>
      <c r="X522" s="413"/>
      <c r="Y522" s="413"/>
      <c r="Z522" s="413"/>
    </row>
    <row r="523" ht="12.0" customHeight="1">
      <c r="A523" s="413"/>
      <c r="B523" s="413"/>
      <c r="C523" s="414"/>
      <c r="D523" s="414"/>
      <c r="E523" s="414"/>
      <c r="F523" s="414"/>
      <c r="G523" s="413"/>
      <c r="H523" s="413"/>
      <c r="I523" s="413"/>
      <c r="J523" s="413"/>
      <c r="K523" s="413"/>
      <c r="L523" s="413"/>
      <c r="M523" s="413"/>
      <c r="N523" s="413"/>
      <c r="O523" s="413"/>
      <c r="P523" s="413"/>
      <c r="Q523" s="413"/>
      <c r="R523" s="413"/>
      <c r="S523" s="413"/>
      <c r="T523" s="413"/>
      <c r="U523" s="413"/>
      <c r="V523" s="413"/>
      <c r="W523" s="413"/>
      <c r="X523" s="413"/>
      <c r="Y523" s="413"/>
      <c r="Z523" s="413"/>
    </row>
    <row r="524" ht="12.0" customHeight="1">
      <c r="A524" s="413"/>
      <c r="B524" s="413"/>
      <c r="C524" s="414"/>
      <c r="D524" s="414"/>
      <c r="E524" s="414"/>
      <c r="F524" s="414"/>
      <c r="G524" s="413"/>
      <c r="H524" s="413"/>
      <c r="I524" s="413"/>
      <c r="J524" s="413"/>
      <c r="K524" s="413"/>
      <c r="L524" s="413"/>
      <c r="M524" s="413"/>
      <c r="N524" s="413"/>
      <c r="O524" s="413"/>
      <c r="P524" s="413"/>
      <c r="Q524" s="413"/>
      <c r="R524" s="413"/>
      <c r="S524" s="413"/>
      <c r="T524" s="413"/>
      <c r="U524" s="413"/>
      <c r="V524" s="413"/>
      <c r="W524" s="413"/>
      <c r="X524" s="413"/>
      <c r="Y524" s="413"/>
      <c r="Z524" s="413"/>
    </row>
    <row r="525" ht="12.0" customHeight="1">
      <c r="A525" s="413"/>
      <c r="B525" s="413"/>
      <c r="C525" s="414"/>
      <c r="D525" s="414"/>
      <c r="E525" s="414"/>
      <c r="F525" s="414"/>
      <c r="G525" s="413"/>
      <c r="H525" s="413"/>
      <c r="I525" s="413"/>
      <c r="J525" s="413"/>
      <c r="K525" s="413"/>
      <c r="L525" s="413"/>
      <c r="M525" s="413"/>
      <c r="N525" s="413"/>
      <c r="O525" s="413"/>
      <c r="P525" s="413"/>
      <c r="Q525" s="413"/>
      <c r="R525" s="413"/>
      <c r="S525" s="413"/>
      <c r="T525" s="413"/>
      <c r="U525" s="413"/>
      <c r="V525" s="413"/>
      <c r="W525" s="413"/>
      <c r="X525" s="413"/>
      <c r="Y525" s="413"/>
      <c r="Z525" s="413"/>
    </row>
    <row r="526" ht="12.0" customHeight="1">
      <c r="A526" s="413"/>
      <c r="B526" s="413"/>
      <c r="C526" s="414"/>
      <c r="D526" s="414"/>
      <c r="E526" s="414"/>
      <c r="F526" s="414"/>
      <c r="G526" s="413"/>
      <c r="H526" s="413"/>
      <c r="I526" s="413"/>
      <c r="J526" s="413"/>
      <c r="K526" s="413"/>
      <c r="L526" s="413"/>
      <c r="M526" s="413"/>
      <c r="N526" s="413"/>
      <c r="O526" s="413"/>
      <c r="P526" s="413"/>
      <c r="Q526" s="413"/>
      <c r="R526" s="413"/>
      <c r="S526" s="413"/>
      <c r="T526" s="413"/>
      <c r="U526" s="413"/>
      <c r="V526" s="413"/>
      <c r="W526" s="413"/>
      <c r="X526" s="413"/>
      <c r="Y526" s="413"/>
      <c r="Z526" s="413"/>
    </row>
    <row r="527" ht="12.0" customHeight="1">
      <c r="A527" s="413"/>
      <c r="B527" s="413"/>
      <c r="C527" s="414"/>
      <c r="D527" s="414"/>
      <c r="E527" s="414"/>
      <c r="F527" s="414"/>
      <c r="G527" s="413"/>
      <c r="H527" s="413"/>
      <c r="I527" s="413"/>
      <c r="J527" s="413"/>
      <c r="K527" s="413"/>
      <c r="L527" s="413"/>
      <c r="M527" s="413"/>
      <c r="N527" s="413"/>
      <c r="O527" s="413"/>
      <c r="P527" s="413"/>
      <c r="Q527" s="413"/>
      <c r="R527" s="413"/>
      <c r="S527" s="413"/>
      <c r="T527" s="413"/>
      <c r="U527" s="413"/>
      <c r="V527" s="413"/>
      <c r="W527" s="413"/>
      <c r="X527" s="413"/>
      <c r="Y527" s="413"/>
      <c r="Z527" s="413"/>
    </row>
    <row r="528" ht="12.0" customHeight="1">
      <c r="A528" s="413"/>
      <c r="B528" s="413"/>
      <c r="C528" s="414"/>
      <c r="D528" s="414"/>
      <c r="E528" s="414"/>
      <c r="F528" s="414"/>
      <c r="G528" s="413"/>
      <c r="H528" s="413"/>
      <c r="I528" s="413"/>
      <c r="J528" s="413"/>
      <c r="K528" s="413"/>
      <c r="L528" s="413"/>
      <c r="M528" s="413"/>
      <c r="N528" s="413"/>
      <c r="O528" s="413"/>
      <c r="P528" s="413"/>
      <c r="Q528" s="413"/>
      <c r="R528" s="413"/>
      <c r="S528" s="413"/>
      <c r="T528" s="413"/>
      <c r="U528" s="413"/>
      <c r="V528" s="413"/>
      <c r="W528" s="413"/>
      <c r="X528" s="413"/>
      <c r="Y528" s="413"/>
      <c r="Z528" s="413"/>
    </row>
    <row r="529" ht="12.0" customHeight="1">
      <c r="A529" s="413"/>
      <c r="B529" s="413"/>
      <c r="C529" s="414"/>
      <c r="D529" s="414"/>
      <c r="E529" s="414"/>
      <c r="F529" s="414"/>
      <c r="G529" s="413"/>
      <c r="H529" s="413"/>
      <c r="I529" s="413"/>
      <c r="J529" s="413"/>
      <c r="K529" s="413"/>
      <c r="L529" s="413"/>
      <c r="M529" s="413"/>
      <c r="N529" s="413"/>
      <c r="O529" s="413"/>
      <c r="P529" s="413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</row>
    <row r="530" ht="12.0" customHeight="1">
      <c r="A530" s="413"/>
      <c r="B530" s="413"/>
      <c r="C530" s="414"/>
      <c r="D530" s="414"/>
      <c r="E530" s="414"/>
      <c r="F530" s="414"/>
      <c r="G530" s="413"/>
      <c r="H530" s="413"/>
      <c r="I530" s="413"/>
      <c r="J530" s="413"/>
      <c r="K530" s="413"/>
      <c r="L530" s="413"/>
      <c r="M530" s="413"/>
      <c r="N530" s="413"/>
      <c r="O530" s="413"/>
      <c r="P530" s="413"/>
      <c r="Q530" s="413"/>
      <c r="R530" s="413"/>
      <c r="S530" s="413"/>
      <c r="T530" s="413"/>
      <c r="U530" s="413"/>
      <c r="V530" s="413"/>
      <c r="W530" s="413"/>
      <c r="X530" s="413"/>
      <c r="Y530" s="413"/>
      <c r="Z530" s="413"/>
    </row>
    <row r="531" ht="12.0" customHeight="1">
      <c r="A531" s="413"/>
      <c r="B531" s="413"/>
      <c r="C531" s="414"/>
      <c r="D531" s="414"/>
      <c r="E531" s="414"/>
      <c r="F531" s="414"/>
      <c r="G531" s="413"/>
      <c r="H531" s="413"/>
      <c r="I531" s="413"/>
      <c r="J531" s="413"/>
      <c r="K531" s="413"/>
      <c r="L531" s="413"/>
      <c r="M531" s="413"/>
      <c r="N531" s="413"/>
      <c r="O531" s="413"/>
      <c r="P531" s="413"/>
      <c r="Q531" s="413"/>
      <c r="R531" s="413"/>
      <c r="S531" s="413"/>
      <c r="T531" s="413"/>
      <c r="U531" s="413"/>
      <c r="V531" s="413"/>
      <c r="W531" s="413"/>
      <c r="X531" s="413"/>
      <c r="Y531" s="413"/>
      <c r="Z531" s="413"/>
    </row>
    <row r="532" ht="12.0" customHeight="1">
      <c r="A532" s="413"/>
      <c r="B532" s="413"/>
      <c r="C532" s="414"/>
      <c r="D532" s="414"/>
      <c r="E532" s="414"/>
      <c r="F532" s="414"/>
      <c r="G532" s="413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  <c r="T532" s="413"/>
      <c r="U532" s="413"/>
      <c r="V532" s="413"/>
      <c r="W532" s="413"/>
      <c r="X532" s="413"/>
      <c r="Y532" s="413"/>
      <c r="Z532" s="413"/>
    </row>
    <row r="533" ht="12.0" customHeight="1">
      <c r="A533" s="413"/>
      <c r="B533" s="413"/>
      <c r="C533" s="414"/>
      <c r="D533" s="414"/>
      <c r="E533" s="414"/>
      <c r="F533" s="414"/>
      <c r="G533" s="413"/>
      <c r="H533" s="413"/>
      <c r="I533" s="413"/>
      <c r="J533" s="413"/>
      <c r="K533" s="413"/>
      <c r="L533" s="413"/>
      <c r="M533" s="413"/>
      <c r="N533" s="413"/>
      <c r="O533" s="413"/>
      <c r="P533" s="413"/>
      <c r="Q533" s="413"/>
      <c r="R533" s="413"/>
      <c r="S533" s="413"/>
      <c r="T533" s="413"/>
      <c r="U533" s="413"/>
      <c r="V533" s="413"/>
      <c r="W533" s="413"/>
      <c r="X533" s="413"/>
      <c r="Y533" s="413"/>
      <c r="Z533" s="413"/>
    </row>
    <row r="534" ht="12.0" customHeight="1">
      <c r="A534" s="413"/>
      <c r="B534" s="413"/>
      <c r="C534" s="414"/>
      <c r="D534" s="414"/>
      <c r="E534" s="414"/>
      <c r="F534" s="414"/>
      <c r="G534" s="413"/>
      <c r="H534" s="413"/>
      <c r="I534" s="413"/>
      <c r="J534" s="413"/>
      <c r="K534" s="413"/>
      <c r="L534" s="413"/>
      <c r="M534" s="413"/>
      <c r="N534" s="413"/>
      <c r="O534" s="413"/>
      <c r="P534" s="413"/>
      <c r="Q534" s="413"/>
      <c r="R534" s="413"/>
      <c r="S534" s="413"/>
      <c r="T534" s="413"/>
      <c r="U534" s="413"/>
      <c r="V534" s="413"/>
      <c r="W534" s="413"/>
      <c r="X534" s="413"/>
      <c r="Y534" s="413"/>
      <c r="Z534" s="413"/>
    </row>
    <row r="535" ht="12.0" customHeight="1">
      <c r="A535" s="413"/>
      <c r="B535" s="413"/>
      <c r="C535" s="414"/>
      <c r="D535" s="414"/>
      <c r="E535" s="414"/>
      <c r="F535" s="414"/>
      <c r="G535" s="413"/>
      <c r="H535" s="413"/>
      <c r="I535" s="413"/>
      <c r="J535" s="413"/>
      <c r="K535" s="413"/>
      <c r="L535" s="413"/>
      <c r="M535" s="413"/>
      <c r="N535" s="413"/>
      <c r="O535" s="413"/>
      <c r="P535" s="413"/>
      <c r="Q535" s="413"/>
      <c r="R535" s="413"/>
      <c r="S535" s="413"/>
      <c r="T535" s="413"/>
      <c r="U535" s="413"/>
      <c r="V535" s="413"/>
      <c r="W535" s="413"/>
      <c r="X535" s="413"/>
      <c r="Y535" s="413"/>
      <c r="Z535" s="413"/>
    </row>
    <row r="536" ht="12.0" customHeight="1">
      <c r="A536" s="413"/>
      <c r="B536" s="413"/>
      <c r="C536" s="414"/>
      <c r="D536" s="414"/>
      <c r="E536" s="414"/>
      <c r="F536" s="414"/>
      <c r="G536" s="413"/>
      <c r="H536" s="413"/>
      <c r="I536" s="413"/>
      <c r="J536" s="413"/>
      <c r="K536" s="413"/>
      <c r="L536" s="413"/>
      <c r="M536" s="413"/>
      <c r="N536" s="413"/>
      <c r="O536" s="413"/>
      <c r="P536" s="413"/>
      <c r="Q536" s="413"/>
      <c r="R536" s="413"/>
      <c r="S536" s="413"/>
      <c r="T536" s="413"/>
      <c r="U536" s="413"/>
      <c r="V536" s="413"/>
      <c r="W536" s="413"/>
      <c r="X536" s="413"/>
      <c r="Y536" s="413"/>
      <c r="Z536" s="413"/>
    </row>
    <row r="537" ht="12.0" customHeight="1">
      <c r="A537" s="413"/>
      <c r="B537" s="413"/>
      <c r="C537" s="414"/>
      <c r="D537" s="414"/>
      <c r="E537" s="414"/>
      <c r="F537" s="414"/>
      <c r="G537" s="413"/>
      <c r="H537" s="413"/>
      <c r="I537" s="413"/>
      <c r="J537" s="413"/>
      <c r="K537" s="413"/>
      <c r="L537" s="413"/>
      <c r="M537" s="413"/>
      <c r="N537" s="413"/>
      <c r="O537" s="413"/>
      <c r="P537" s="413"/>
      <c r="Q537" s="413"/>
      <c r="R537" s="413"/>
      <c r="S537" s="413"/>
      <c r="T537" s="413"/>
      <c r="U537" s="413"/>
      <c r="V537" s="413"/>
      <c r="W537" s="413"/>
      <c r="X537" s="413"/>
      <c r="Y537" s="413"/>
      <c r="Z537" s="413"/>
    </row>
    <row r="538" ht="12.0" customHeight="1">
      <c r="A538" s="413"/>
      <c r="B538" s="413"/>
      <c r="C538" s="414"/>
      <c r="D538" s="414"/>
      <c r="E538" s="414"/>
      <c r="F538" s="414"/>
      <c r="G538" s="413"/>
      <c r="H538" s="413"/>
      <c r="I538" s="413"/>
      <c r="J538" s="413"/>
      <c r="K538" s="413"/>
      <c r="L538" s="413"/>
      <c r="M538" s="413"/>
      <c r="N538" s="413"/>
      <c r="O538" s="413"/>
      <c r="P538" s="413"/>
      <c r="Q538" s="413"/>
      <c r="R538" s="413"/>
      <c r="S538" s="413"/>
      <c r="T538" s="413"/>
      <c r="U538" s="413"/>
      <c r="V538" s="413"/>
      <c r="W538" s="413"/>
      <c r="X538" s="413"/>
      <c r="Y538" s="413"/>
      <c r="Z538" s="413"/>
    </row>
    <row r="539" ht="12.0" customHeight="1">
      <c r="A539" s="413"/>
      <c r="B539" s="413"/>
      <c r="C539" s="414"/>
      <c r="D539" s="414"/>
      <c r="E539" s="414"/>
      <c r="F539" s="414"/>
      <c r="G539" s="413"/>
      <c r="H539" s="413"/>
      <c r="I539" s="413"/>
      <c r="J539" s="413"/>
      <c r="K539" s="413"/>
      <c r="L539" s="413"/>
      <c r="M539" s="413"/>
      <c r="N539" s="413"/>
      <c r="O539" s="413"/>
      <c r="P539" s="413"/>
      <c r="Q539" s="413"/>
      <c r="R539" s="413"/>
      <c r="S539" s="413"/>
      <c r="T539" s="413"/>
      <c r="U539" s="413"/>
      <c r="V539" s="413"/>
      <c r="W539" s="413"/>
      <c r="X539" s="413"/>
      <c r="Y539" s="413"/>
      <c r="Z539" s="413"/>
    </row>
    <row r="540" ht="12.0" customHeight="1">
      <c r="A540" s="413"/>
      <c r="B540" s="413"/>
      <c r="C540" s="414"/>
      <c r="D540" s="414"/>
      <c r="E540" s="414"/>
      <c r="F540" s="414"/>
      <c r="G540" s="413"/>
      <c r="H540" s="413"/>
      <c r="I540" s="413"/>
      <c r="J540" s="413"/>
      <c r="K540" s="413"/>
      <c r="L540" s="413"/>
      <c r="M540" s="413"/>
      <c r="N540" s="413"/>
      <c r="O540" s="413"/>
      <c r="P540" s="413"/>
      <c r="Q540" s="413"/>
      <c r="R540" s="413"/>
      <c r="S540" s="413"/>
      <c r="T540" s="413"/>
      <c r="U540" s="413"/>
      <c r="V540" s="413"/>
      <c r="W540" s="413"/>
      <c r="X540" s="413"/>
      <c r="Y540" s="413"/>
      <c r="Z540" s="413"/>
    </row>
    <row r="541" ht="12.0" customHeight="1">
      <c r="A541" s="413"/>
      <c r="B541" s="413"/>
      <c r="C541" s="414"/>
      <c r="D541" s="414"/>
      <c r="E541" s="414"/>
      <c r="F541" s="414"/>
      <c r="G541" s="413"/>
      <c r="H541" s="413"/>
      <c r="I541" s="413"/>
      <c r="J541" s="413"/>
      <c r="K541" s="413"/>
      <c r="L541" s="413"/>
      <c r="M541" s="413"/>
      <c r="N541" s="413"/>
      <c r="O541" s="413"/>
      <c r="P541" s="413"/>
      <c r="Q541" s="413"/>
      <c r="R541" s="413"/>
      <c r="S541" s="413"/>
      <c r="T541" s="413"/>
      <c r="U541" s="413"/>
      <c r="V541" s="413"/>
      <c r="W541" s="413"/>
      <c r="X541" s="413"/>
      <c r="Y541" s="413"/>
      <c r="Z541" s="413"/>
    </row>
    <row r="542" ht="12.0" customHeight="1">
      <c r="A542" s="413"/>
      <c r="B542" s="413"/>
      <c r="C542" s="414"/>
      <c r="D542" s="414"/>
      <c r="E542" s="414"/>
      <c r="F542" s="414"/>
      <c r="G542" s="413"/>
      <c r="H542" s="413"/>
      <c r="I542" s="413"/>
      <c r="J542" s="413"/>
      <c r="K542" s="413"/>
      <c r="L542" s="413"/>
      <c r="M542" s="413"/>
      <c r="N542" s="413"/>
      <c r="O542" s="413"/>
      <c r="P542" s="413"/>
      <c r="Q542" s="413"/>
      <c r="R542" s="413"/>
      <c r="S542" s="413"/>
      <c r="T542" s="413"/>
      <c r="U542" s="413"/>
      <c r="V542" s="413"/>
      <c r="W542" s="413"/>
      <c r="X542" s="413"/>
      <c r="Y542" s="413"/>
      <c r="Z542" s="413"/>
    </row>
    <row r="543" ht="12.0" customHeight="1">
      <c r="A543" s="413"/>
      <c r="B543" s="413"/>
      <c r="C543" s="414"/>
      <c r="D543" s="414"/>
      <c r="E543" s="414"/>
      <c r="F543" s="414"/>
      <c r="G543" s="413"/>
      <c r="H543" s="413"/>
      <c r="I543" s="413"/>
      <c r="J543" s="413"/>
      <c r="K543" s="413"/>
      <c r="L543" s="413"/>
      <c r="M543" s="413"/>
      <c r="N543" s="413"/>
      <c r="O543" s="413"/>
      <c r="P543" s="413"/>
      <c r="Q543" s="413"/>
      <c r="R543" s="413"/>
      <c r="S543" s="413"/>
      <c r="T543" s="413"/>
      <c r="U543" s="413"/>
      <c r="V543" s="413"/>
      <c r="W543" s="413"/>
      <c r="X543" s="413"/>
      <c r="Y543" s="413"/>
      <c r="Z543" s="413"/>
    </row>
    <row r="544" ht="12.0" customHeight="1">
      <c r="A544" s="413"/>
      <c r="B544" s="413"/>
      <c r="C544" s="414"/>
      <c r="D544" s="414"/>
      <c r="E544" s="414"/>
      <c r="F544" s="414"/>
      <c r="G544" s="413"/>
      <c r="H544" s="413"/>
      <c r="I544" s="413"/>
      <c r="J544" s="413"/>
      <c r="K544" s="413"/>
      <c r="L544" s="413"/>
      <c r="M544" s="413"/>
      <c r="N544" s="413"/>
      <c r="O544" s="413"/>
      <c r="P544" s="413"/>
      <c r="Q544" s="413"/>
      <c r="R544" s="413"/>
      <c r="S544" s="413"/>
      <c r="T544" s="413"/>
      <c r="U544" s="413"/>
      <c r="V544" s="413"/>
      <c r="W544" s="413"/>
      <c r="X544" s="413"/>
      <c r="Y544" s="413"/>
      <c r="Z544" s="413"/>
    </row>
    <row r="545" ht="12.0" customHeight="1">
      <c r="A545" s="413"/>
      <c r="B545" s="413"/>
      <c r="C545" s="414"/>
      <c r="D545" s="414"/>
      <c r="E545" s="414"/>
      <c r="F545" s="414"/>
      <c r="G545" s="413"/>
      <c r="H545" s="413"/>
      <c r="I545" s="413"/>
      <c r="J545" s="413"/>
      <c r="K545" s="413"/>
      <c r="L545" s="413"/>
      <c r="M545" s="413"/>
      <c r="N545" s="413"/>
      <c r="O545" s="413"/>
      <c r="P545" s="413"/>
      <c r="Q545" s="413"/>
      <c r="R545" s="413"/>
      <c r="S545" s="413"/>
      <c r="T545" s="413"/>
      <c r="U545" s="413"/>
      <c r="V545" s="413"/>
      <c r="W545" s="413"/>
      <c r="X545" s="413"/>
      <c r="Y545" s="413"/>
      <c r="Z545" s="413"/>
    </row>
    <row r="546" ht="12.0" customHeight="1">
      <c r="A546" s="413"/>
      <c r="B546" s="413"/>
      <c r="C546" s="414"/>
      <c r="D546" s="414"/>
      <c r="E546" s="414"/>
      <c r="F546" s="414"/>
      <c r="G546" s="413"/>
      <c r="H546" s="413"/>
      <c r="I546" s="413"/>
      <c r="J546" s="413"/>
      <c r="K546" s="413"/>
      <c r="L546" s="413"/>
      <c r="M546" s="413"/>
      <c r="N546" s="413"/>
      <c r="O546" s="413"/>
      <c r="P546" s="413"/>
      <c r="Q546" s="413"/>
      <c r="R546" s="413"/>
      <c r="S546" s="413"/>
      <c r="T546" s="413"/>
      <c r="U546" s="413"/>
      <c r="V546" s="413"/>
      <c r="W546" s="413"/>
      <c r="X546" s="413"/>
      <c r="Y546" s="413"/>
      <c r="Z546" s="413"/>
    </row>
    <row r="547" ht="12.0" customHeight="1">
      <c r="A547" s="413"/>
      <c r="B547" s="413"/>
      <c r="C547" s="414"/>
      <c r="D547" s="414"/>
      <c r="E547" s="414"/>
      <c r="F547" s="414"/>
      <c r="G547" s="413"/>
      <c r="H547" s="413"/>
      <c r="I547" s="413"/>
      <c r="J547" s="413"/>
      <c r="K547" s="413"/>
      <c r="L547" s="413"/>
      <c r="M547" s="413"/>
      <c r="N547" s="413"/>
      <c r="O547" s="413"/>
      <c r="P547" s="413"/>
      <c r="Q547" s="413"/>
      <c r="R547" s="413"/>
      <c r="S547" s="413"/>
      <c r="T547" s="413"/>
      <c r="U547" s="413"/>
      <c r="V547" s="413"/>
      <c r="W547" s="413"/>
      <c r="X547" s="413"/>
      <c r="Y547" s="413"/>
      <c r="Z547" s="413"/>
    </row>
    <row r="548" ht="12.0" customHeight="1">
      <c r="A548" s="413"/>
      <c r="B548" s="413"/>
      <c r="C548" s="414"/>
      <c r="D548" s="414"/>
      <c r="E548" s="414"/>
      <c r="F548" s="414"/>
      <c r="G548" s="413"/>
      <c r="H548" s="413"/>
      <c r="I548" s="413"/>
      <c r="J548" s="413"/>
      <c r="K548" s="413"/>
      <c r="L548" s="413"/>
      <c r="M548" s="413"/>
      <c r="N548" s="413"/>
      <c r="O548" s="413"/>
      <c r="P548" s="413"/>
      <c r="Q548" s="413"/>
      <c r="R548" s="413"/>
      <c r="S548" s="413"/>
      <c r="T548" s="413"/>
      <c r="U548" s="413"/>
      <c r="V548" s="413"/>
      <c r="W548" s="413"/>
      <c r="X548" s="413"/>
      <c r="Y548" s="413"/>
      <c r="Z548" s="413"/>
    </row>
    <row r="549" ht="12.0" customHeight="1">
      <c r="A549" s="413"/>
      <c r="B549" s="413"/>
      <c r="C549" s="414"/>
      <c r="D549" s="414"/>
      <c r="E549" s="414"/>
      <c r="F549" s="414"/>
      <c r="G549" s="413"/>
      <c r="H549" s="413"/>
      <c r="I549" s="413"/>
      <c r="J549" s="413"/>
      <c r="K549" s="413"/>
      <c r="L549" s="413"/>
      <c r="M549" s="413"/>
      <c r="N549" s="413"/>
      <c r="O549" s="413"/>
      <c r="P549" s="413"/>
      <c r="Q549" s="413"/>
      <c r="R549" s="413"/>
      <c r="S549" s="413"/>
      <c r="T549" s="413"/>
      <c r="U549" s="413"/>
      <c r="V549" s="413"/>
      <c r="W549" s="413"/>
      <c r="X549" s="413"/>
      <c r="Y549" s="413"/>
      <c r="Z549" s="413"/>
    </row>
    <row r="550" ht="12.0" customHeight="1">
      <c r="A550" s="413"/>
      <c r="B550" s="413"/>
      <c r="C550" s="414"/>
      <c r="D550" s="414"/>
      <c r="E550" s="414"/>
      <c r="F550" s="414"/>
      <c r="G550" s="413"/>
      <c r="H550" s="413"/>
      <c r="I550" s="413"/>
      <c r="J550" s="413"/>
      <c r="K550" s="413"/>
      <c r="L550" s="413"/>
      <c r="M550" s="413"/>
      <c r="N550" s="413"/>
      <c r="O550" s="413"/>
      <c r="P550" s="413"/>
      <c r="Q550" s="413"/>
      <c r="R550" s="413"/>
      <c r="S550" s="413"/>
      <c r="T550" s="413"/>
      <c r="U550" s="413"/>
      <c r="V550" s="413"/>
      <c r="W550" s="413"/>
      <c r="X550" s="413"/>
      <c r="Y550" s="413"/>
      <c r="Z550" s="413"/>
    </row>
    <row r="551" ht="12.0" customHeight="1">
      <c r="A551" s="413"/>
      <c r="B551" s="413"/>
      <c r="C551" s="414"/>
      <c r="D551" s="414"/>
      <c r="E551" s="414"/>
      <c r="F551" s="414"/>
      <c r="G551" s="413"/>
      <c r="H551" s="413"/>
      <c r="I551" s="413"/>
      <c r="J551" s="413"/>
      <c r="K551" s="413"/>
      <c r="L551" s="413"/>
      <c r="M551" s="413"/>
      <c r="N551" s="413"/>
      <c r="O551" s="413"/>
      <c r="P551" s="413"/>
      <c r="Q551" s="413"/>
      <c r="R551" s="413"/>
      <c r="S551" s="413"/>
      <c r="T551" s="413"/>
      <c r="U551" s="413"/>
      <c r="V551" s="413"/>
      <c r="W551" s="413"/>
      <c r="X551" s="413"/>
      <c r="Y551" s="413"/>
      <c r="Z551" s="413"/>
    </row>
    <row r="552" ht="12.0" customHeight="1">
      <c r="A552" s="413"/>
      <c r="B552" s="413"/>
      <c r="C552" s="414"/>
      <c r="D552" s="414"/>
      <c r="E552" s="414"/>
      <c r="F552" s="414"/>
      <c r="G552" s="413"/>
      <c r="H552" s="413"/>
      <c r="I552" s="413"/>
      <c r="J552" s="413"/>
      <c r="K552" s="413"/>
      <c r="L552" s="413"/>
      <c r="M552" s="413"/>
      <c r="N552" s="413"/>
      <c r="O552" s="413"/>
      <c r="P552" s="413"/>
      <c r="Q552" s="413"/>
      <c r="R552" s="413"/>
      <c r="S552" s="413"/>
      <c r="T552" s="413"/>
      <c r="U552" s="413"/>
      <c r="V552" s="413"/>
      <c r="W552" s="413"/>
      <c r="X552" s="413"/>
      <c r="Y552" s="413"/>
      <c r="Z552" s="413"/>
    </row>
    <row r="553" ht="12.0" customHeight="1">
      <c r="A553" s="413"/>
      <c r="B553" s="413"/>
      <c r="C553" s="414"/>
      <c r="D553" s="414"/>
      <c r="E553" s="414"/>
      <c r="F553" s="414"/>
      <c r="G553" s="413"/>
      <c r="H553" s="413"/>
      <c r="I553" s="413"/>
      <c r="J553" s="413"/>
      <c r="K553" s="413"/>
      <c r="L553" s="413"/>
      <c r="M553" s="413"/>
      <c r="N553" s="413"/>
      <c r="O553" s="413"/>
      <c r="P553" s="413"/>
      <c r="Q553" s="413"/>
      <c r="R553" s="413"/>
      <c r="S553" s="413"/>
      <c r="T553" s="413"/>
      <c r="U553" s="413"/>
      <c r="V553" s="413"/>
      <c r="W553" s="413"/>
      <c r="X553" s="413"/>
      <c r="Y553" s="413"/>
      <c r="Z553" s="413"/>
    </row>
    <row r="554" ht="12.0" customHeight="1">
      <c r="A554" s="413"/>
      <c r="B554" s="413"/>
      <c r="C554" s="414"/>
      <c r="D554" s="414"/>
      <c r="E554" s="414"/>
      <c r="F554" s="414"/>
      <c r="G554" s="413"/>
      <c r="H554" s="413"/>
      <c r="I554" s="413"/>
      <c r="J554" s="413"/>
      <c r="K554" s="413"/>
      <c r="L554" s="413"/>
      <c r="M554" s="413"/>
      <c r="N554" s="413"/>
      <c r="O554" s="413"/>
      <c r="P554" s="413"/>
      <c r="Q554" s="413"/>
      <c r="R554" s="413"/>
      <c r="S554" s="413"/>
      <c r="T554" s="413"/>
      <c r="U554" s="413"/>
      <c r="V554" s="413"/>
      <c r="W554" s="413"/>
      <c r="X554" s="413"/>
      <c r="Y554" s="413"/>
      <c r="Z554" s="413"/>
    </row>
    <row r="555" ht="12.0" customHeight="1">
      <c r="A555" s="413"/>
      <c r="B555" s="413"/>
      <c r="C555" s="414"/>
      <c r="D555" s="414"/>
      <c r="E555" s="414"/>
      <c r="F555" s="414"/>
      <c r="G555" s="413"/>
      <c r="H555" s="413"/>
      <c r="I555" s="413"/>
      <c r="J555" s="413"/>
      <c r="K555" s="413"/>
      <c r="L555" s="413"/>
      <c r="M555" s="413"/>
      <c r="N555" s="413"/>
      <c r="O555" s="413"/>
      <c r="P555" s="413"/>
      <c r="Q555" s="413"/>
      <c r="R555" s="413"/>
      <c r="S555" s="413"/>
      <c r="T555" s="413"/>
      <c r="U555" s="413"/>
      <c r="V555" s="413"/>
      <c r="W555" s="413"/>
      <c r="X555" s="413"/>
      <c r="Y555" s="413"/>
      <c r="Z555" s="413"/>
    </row>
    <row r="556" ht="12.0" customHeight="1">
      <c r="A556" s="413"/>
      <c r="B556" s="413"/>
      <c r="C556" s="414"/>
      <c r="D556" s="414"/>
      <c r="E556" s="414"/>
      <c r="F556" s="414"/>
      <c r="G556" s="413"/>
      <c r="H556" s="413"/>
      <c r="I556" s="413"/>
      <c r="J556" s="413"/>
      <c r="K556" s="413"/>
      <c r="L556" s="413"/>
      <c r="M556" s="413"/>
      <c r="N556" s="413"/>
      <c r="O556" s="413"/>
      <c r="P556" s="413"/>
      <c r="Q556" s="413"/>
      <c r="R556" s="413"/>
      <c r="S556" s="413"/>
      <c r="T556" s="413"/>
      <c r="U556" s="413"/>
      <c r="V556" s="413"/>
      <c r="W556" s="413"/>
      <c r="X556" s="413"/>
      <c r="Y556" s="413"/>
      <c r="Z556" s="413"/>
    </row>
    <row r="557" ht="12.0" customHeight="1">
      <c r="A557" s="413"/>
      <c r="B557" s="413"/>
      <c r="C557" s="414"/>
      <c r="D557" s="414"/>
      <c r="E557" s="414"/>
      <c r="F557" s="414"/>
      <c r="G557" s="413"/>
      <c r="H557" s="413"/>
      <c r="I557" s="413"/>
      <c r="J557" s="413"/>
      <c r="K557" s="413"/>
      <c r="L557" s="413"/>
      <c r="M557" s="413"/>
      <c r="N557" s="413"/>
      <c r="O557" s="413"/>
      <c r="P557" s="413"/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</row>
    <row r="558" ht="12.0" customHeight="1">
      <c r="A558" s="413"/>
      <c r="B558" s="413"/>
      <c r="C558" s="414"/>
      <c r="D558" s="414"/>
      <c r="E558" s="414"/>
      <c r="F558" s="414"/>
      <c r="G558" s="413"/>
      <c r="H558" s="413"/>
      <c r="I558" s="413"/>
      <c r="J558" s="413"/>
      <c r="K558" s="413"/>
      <c r="L558" s="413"/>
      <c r="M558" s="413"/>
      <c r="N558" s="413"/>
      <c r="O558" s="413"/>
      <c r="P558" s="413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</row>
    <row r="559" ht="12.0" customHeight="1">
      <c r="A559" s="413"/>
      <c r="B559" s="413"/>
      <c r="C559" s="414"/>
      <c r="D559" s="414"/>
      <c r="E559" s="414"/>
      <c r="F559" s="414"/>
      <c r="G559" s="413"/>
      <c r="H559" s="413"/>
      <c r="I559" s="413"/>
      <c r="J559" s="413"/>
      <c r="K559" s="413"/>
      <c r="L559" s="413"/>
      <c r="M559" s="413"/>
      <c r="N559" s="413"/>
      <c r="O559" s="413"/>
      <c r="P559" s="413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</row>
    <row r="560" ht="12.0" customHeight="1">
      <c r="A560" s="413"/>
      <c r="B560" s="413"/>
      <c r="C560" s="414"/>
      <c r="D560" s="414"/>
      <c r="E560" s="414"/>
      <c r="F560" s="414"/>
      <c r="G560" s="413"/>
      <c r="H560" s="413"/>
      <c r="I560" s="413"/>
      <c r="J560" s="413"/>
      <c r="K560" s="413"/>
      <c r="L560" s="413"/>
      <c r="M560" s="413"/>
      <c r="N560" s="413"/>
      <c r="O560" s="413"/>
      <c r="P560" s="413"/>
      <c r="Q560" s="413"/>
      <c r="R560" s="413"/>
      <c r="S560" s="413"/>
      <c r="T560" s="413"/>
      <c r="U560" s="413"/>
      <c r="V560" s="413"/>
      <c r="W560" s="413"/>
      <c r="X560" s="413"/>
      <c r="Y560" s="413"/>
      <c r="Z560" s="413"/>
    </row>
    <row r="561" ht="12.0" customHeight="1">
      <c r="A561" s="413"/>
      <c r="B561" s="413"/>
      <c r="C561" s="414"/>
      <c r="D561" s="414"/>
      <c r="E561" s="414"/>
      <c r="F561" s="414"/>
      <c r="G561" s="413"/>
      <c r="H561" s="413"/>
      <c r="I561" s="413"/>
      <c r="J561" s="413"/>
      <c r="K561" s="413"/>
      <c r="L561" s="413"/>
      <c r="M561" s="413"/>
      <c r="N561" s="413"/>
      <c r="O561" s="413"/>
      <c r="P561" s="413"/>
      <c r="Q561" s="413"/>
      <c r="R561" s="413"/>
      <c r="S561" s="413"/>
      <c r="T561" s="413"/>
      <c r="U561" s="413"/>
      <c r="V561" s="413"/>
      <c r="W561" s="413"/>
      <c r="X561" s="413"/>
      <c r="Y561" s="413"/>
      <c r="Z561" s="413"/>
    </row>
    <row r="562" ht="12.0" customHeight="1">
      <c r="A562" s="413"/>
      <c r="B562" s="413"/>
      <c r="C562" s="414"/>
      <c r="D562" s="414"/>
      <c r="E562" s="414"/>
      <c r="F562" s="414"/>
      <c r="G562" s="413"/>
      <c r="H562" s="413"/>
      <c r="I562" s="413"/>
      <c r="J562" s="413"/>
      <c r="K562" s="413"/>
      <c r="L562" s="413"/>
      <c r="M562" s="413"/>
      <c r="N562" s="413"/>
      <c r="O562" s="413"/>
      <c r="P562" s="413"/>
      <c r="Q562" s="413"/>
      <c r="R562" s="413"/>
      <c r="S562" s="413"/>
      <c r="T562" s="413"/>
      <c r="U562" s="413"/>
      <c r="V562" s="413"/>
      <c r="W562" s="413"/>
      <c r="X562" s="413"/>
      <c r="Y562" s="413"/>
      <c r="Z562" s="413"/>
    </row>
    <row r="563" ht="12.0" customHeight="1">
      <c r="A563" s="413"/>
      <c r="B563" s="413"/>
      <c r="C563" s="414"/>
      <c r="D563" s="414"/>
      <c r="E563" s="414"/>
      <c r="F563" s="414"/>
      <c r="G563" s="413"/>
      <c r="H563" s="413"/>
      <c r="I563" s="413"/>
      <c r="J563" s="413"/>
      <c r="K563" s="413"/>
      <c r="L563" s="413"/>
      <c r="M563" s="413"/>
      <c r="N563" s="413"/>
      <c r="O563" s="413"/>
      <c r="P563" s="413"/>
      <c r="Q563" s="413"/>
      <c r="R563" s="413"/>
      <c r="S563" s="413"/>
      <c r="T563" s="413"/>
      <c r="U563" s="413"/>
      <c r="V563" s="413"/>
      <c r="W563" s="413"/>
      <c r="X563" s="413"/>
      <c r="Y563" s="413"/>
      <c r="Z563" s="413"/>
    </row>
    <row r="564" ht="12.0" customHeight="1">
      <c r="A564" s="413"/>
      <c r="B564" s="413"/>
      <c r="C564" s="414"/>
      <c r="D564" s="414"/>
      <c r="E564" s="414"/>
      <c r="F564" s="414"/>
      <c r="G564" s="413"/>
      <c r="H564" s="413"/>
      <c r="I564" s="413"/>
      <c r="J564" s="413"/>
      <c r="K564" s="413"/>
      <c r="L564" s="413"/>
      <c r="M564" s="413"/>
      <c r="N564" s="413"/>
      <c r="O564" s="413"/>
      <c r="P564" s="413"/>
      <c r="Q564" s="413"/>
      <c r="R564" s="413"/>
      <c r="S564" s="413"/>
      <c r="T564" s="413"/>
      <c r="U564" s="413"/>
      <c r="V564" s="413"/>
      <c r="W564" s="413"/>
      <c r="X564" s="413"/>
      <c r="Y564" s="413"/>
      <c r="Z564" s="413"/>
    </row>
    <row r="565" ht="12.0" customHeight="1">
      <c r="A565" s="413"/>
      <c r="B565" s="413"/>
      <c r="C565" s="414"/>
      <c r="D565" s="414"/>
      <c r="E565" s="414"/>
      <c r="F565" s="414"/>
      <c r="G565" s="413"/>
      <c r="H565" s="413"/>
      <c r="I565" s="413"/>
      <c r="J565" s="413"/>
      <c r="K565" s="413"/>
      <c r="L565" s="413"/>
      <c r="M565" s="413"/>
      <c r="N565" s="413"/>
      <c r="O565" s="413"/>
      <c r="P565" s="413"/>
      <c r="Q565" s="413"/>
      <c r="R565" s="413"/>
      <c r="S565" s="413"/>
      <c r="T565" s="413"/>
      <c r="U565" s="413"/>
      <c r="V565" s="413"/>
      <c r="W565" s="413"/>
      <c r="X565" s="413"/>
      <c r="Y565" s="413"/>
      <c r="Z565" s="413"/>
    </row>
    <row r="566" ht="12.0" customHeight="1">
      <c r="A566" s="413"/>
      <c r="B566" s="413"/>
      <c r="C566" s="414"/>
      <c r="D566" s="414"/>
      <c r="E566" s="414"/>
      <c r="F566" s="414"/>
      <c r="G566" s="413"/>
      <c r="H566" s="413"/>
      <c r="I566" s="413"/>
      <c r="J566" s="413"/>
      <c r="K566" s="413"/>
      <c r="L566" s="413"/>
      <c r="M566" s="413"/>
      <c r="N566" s="413"/>
      <c r="O566" s="413"/>
      <c r="P566" s="413"/>
      <c r="Q566" s="413"/>
      <c r="R566" s="413"/>
      <c r="S566" s="413"/>
      <c r="T566" s="413"/>
      <c r="U566" s="413"/>
      <c r="V566" s="413"/>
      <c r="W566" s="413"/>
      <c r="X566" s="413"/>
      <c r="Y566" s="413"/>
      <c r="Z566" s="413"/>
    </row>
    <row r="567" ht="12.0" customHeight="1">
      <c r="A567" s="413"/>
      <c r="B567" s="413"/>
      <c r="C567" s="414"/>
      <c r="D567" s="414"/>
      <c r="E567" s="414"/>
      <c r="F567" s="414"/>
      <c r="G567" s="413"/>
      <c r="H567" s="413"/>
      <c r="I567" s="413"/>
      <c r="J567" s="413"/>
      <c r="K567" s="413"/>
      <c r="L567" s="413"/>
      <c r="M567" s="413"/>
      <c r="N567" s="413"/>
      <c r="O567" s="413"/>
      <c r="P567" s="413"/>
      <c r="Q567" s="413"/>
      <c r="R567" s="413"/>
      <c r="S567" s="413"/>
      <c r="T567" s="413"/>
      <c r="U567" s="413"/>
      <c r="V567" s="413"/>
      <c r="W567" s="413"/>
      <c r="X567" s="413"/>
      <c r="Y567" s="413"/>
      <c r="Z567" s="413"/>
    </row>
    <row r="568" ht="12.0" customHeight="1">
      <c r="A568" s="413"/>
      <c r="B568" s="413"/>
      <c r="C568" s="414"/>
      <c r="D568" s="414"/>
      <c r="E568" s="414"/>
      <c r="F568" s="414"/>
      <c r="G568" s="413"/>
      <c r="H568" s="413"/>
      <c r="I568" s="413"/>
      <c r="J568" s="413"/>
      <c r="K568" s="413"/>
      <c r="L568" s="413"/>
      <c r="M568" s="413"/>
      <c r="N568" s="413"/>
      <c r="O568" s="413"/>
      <c r="P568" s="413"/>
      <c r="Q568" s="413"/>
      <c r="R568" s="413"/>
      <c r="S568" s="413"/>
      <c r="T568" s="413"/>
      <c r="U568" s="413"/>
      <c r="V568" s="413"/>
      <c r="W568" s="413"/>
      <c r="X568" s="413"/>
      <c r="Y568" s="413"/>
      <c r="Z568" s="413"/>
    </row>
    <row r="569" ht="12.0" customHeight="1">
      <c r="A569" s="413"/>
      <c r="B569" s="413"/>
      <c r="C569" s="414"/>
      <c r="D569" s="414"/>
      <c r="E569" s="414"/>
      <c r="F569" s="414"/>
      <c r="G569" s="413"/>
      <c r="H569" s="413"/>
      <c r="I569" s="413"/>
      <c r="J569" s="413"/>
      <c r="K569" s="413"/>
      <c r="L569" s="413"/>
      <c r="M569" s="413"/>
      <c r="N569" s="413"/>
      <c r="O569" s="413"/>
      <c r="P569" s="413"/>
      <c r="Q569" s="413"/>
      <c r="R569" s="413"/>
      <c r="S569" s="413"/>
      <c r="T569" s="413"/>
      <c r="U569" s="413"/>
      <c r="V569" s="413"/>
      <c r="W569" s="413"/>
      <c r="X569" s="413"/>
      <c r="Y569" s="413"/>
      <c r="Z569" s="413"/>
    </row>
    <row r="570" ht="12.0" customHeight="1">
      <c r="A570" s="413"/>
      <c r="B570" s="413"/>
      <c r="C570" s="414"/>
      <c r="D570" s="414"/>
      <c r="E570" s="414"/>
      <c r="F570" s="414"/>
      <c r="G570" s="413"/>
      <c r="H570" s="413"/>
      <c r="I570" s="413"/>
      <c r="J570" s="413"/>
      <c r="K570" s="413"/>
      <c r="L570" s="413"/>
      <c r="M570" s="413"/>
      <c r="N570" s="413"/>
      <c r="O570" s="413"/>
      <c r="P570" s="413"/>
      <c r="Q570" s="413"/>
      <c r="R570" s="413"/>
      <c r="S570" s="413"/>
      <c r="T570" s="413"/>
      <c r="U570" s="413"/>
      <c r="V570" s="413"/>
      <c r="W570" s="413"/>
      <c r="X570" s="413"/>
      <c r="Y570" s="413"/>
      <c r="Z570" s="413"/>
    </row>
    <row r="571" ht="12.0" customHeight="1">
      <c r="A571" s="413"/>
      <c r="B571" s="413"/>
      <c r="C571" s="414"/>
      <c r="D571" s="414"/>
      <c r="E571" s="414"/>
      <c r="F571" s="414"/>
      <c r="G571" s="413"/>
      <c r="H571" s="413"/>
      <c r="I571" s="413"/>
      <c r="J571" s="413"/>
      <c r="K571" s="413"/>
      <c r="L571" s="413"/>
      <c r="M571" s="413"/>
      <c r="N571" s="413"/>
      <c r="O571" s="413"/>
      <c r="P571" s="413"/>
      <c r="Q571" s="413"/>
      <c r="R571" s="413"/>
      <c r="S571" s="413"/>
      <c r="T571" s="413"/>
      <c r="U571" s="413"/>
      <c r="V571" s="413"/>
      <c r="W571" s="413"/>
      <c r="X571" s="413"/>
      <c r="Y571" s="413"/>
      <c r="Z571" s="413"/>
    </row>
    <row r="572" ht="12.0" customHeight="1">
      <c r="A572" s="413"/>
      <c r="B572" s="413"/>
      <c r="C572" s="414"/>
      <c r="D572" s="414"/>
      <c r="E572" s="414"/>
      <c r="F572" s="414"/>
      <c r="G572" s="413"/>
      <c r="H572" s="413"/>
      <c r="I572" s="413"/>
      <c r="J572" s="413"/>
      <c r="K572" s="413"/>
      <c r="L572" s="413"/>
      <c r="M572" s="413"/>
      <c r="N572" s="413"/>
      <c r="O572" s="413"/>
      <c r="P572" s="413"/>
      <c r="Q572" s="413"/>
      <c r="R572" s="413"/>
      <c r="S572" s="413"/>
      <c r="T572" s="413"/>
      <c r="U572" s="413"/>
      <c r="V572" s="413"/>
      <c r="W572" s="413"/>
      <c r="X572" s="413"/>
      <c r="Y572" s="413"/>
      <c r="Z572" s="413"/>
    </row>
    <row r="573" ht="12.0" customHeight="1">
      <c r="A573" s="413"/>
      <c r="B573" s="413"/>
      <c r="C573" s="414"/>
      <c r="D573" s="414"/>
      <c r="E573" s="414"/>
      <c r="F573" s="414"/>
      <c r="G573" s="413"/>
      <c r="H573" s="413"/>
      <c r="I573" s="413"/>
      <c r="J573" s="413"/>
      <c r="K573" s="413"/>
      <c r="L573" s="413"/>
      <c r="M573" s="413"/>
      <c r="N573" s="413"/>
      <c r="O573" s="413"/>
      <c r="P573" s="413"/>
      <c r="Q573" s="413"/>
      <c r="R573" s="413"/>
      <c r="S573" s="413"/>
      <c r="T573" s="413"/>
      <c r="U573" s="413"/>
      <c r="V573" s="413"/>
      <c r="W573" s="413"/>
      <c r="X573" s="413"/>
      <c r="Y573" s="413"/>
      <c r="Z573" s="413"/>
    </row>
    <row r="574" ht="12.0" customHeight="1">
      <c r="A574" s="413"/>
      <c r="B574" s="413"/>
      <c r="C574" s="414"/>
      <c r="D574" s="414"/>
      <c r="E574" s="414"/>
      <c r="F574" s="414"/>
      <c r="G574" s="413"/>
      <c r="H574" s="413"/>
      <c r="I574" s="413"/>
      <c r="J574" s="413"/>
      <c r="K574" s="413"/>
      <c r="L574" s="413"/>
      <c r="M574" s="413"/>
      <c r="N574" s="413"/>
      <c r="O574" s="413"/>
      <c r="P574" s="413"/>
      <c r="Q574" s="413"/>
      <c r="R574" s="413"/>
      <c r="S574" s="413"/>
      <c r="T574" s="413"/>
      <c r="U574" s="413"/>
      <c r="V574" s="413"/>
      <c r="W574" s="413"/>
      <c r="X574" s="413"/>
      <c r="Y574" s="413"/>
      <c r="Z574" s="413"/>
    </row>
    <row r="575" ht="12.0" customHeight="1">
      <c r="A575" s="413"/>
      <c r="B575" s="413"/>
      <c r="C575" s="414"/>
      <c r="D575" s="414"/>
      <c r="E575" s="414"/>
      <c r="F575" s="414"/>
      <c r="G575" s="413"/>
      <c r="H575" s="413"/>
      <c r="I575" s="413"/>
      <c r="J575" s="413"/>
      <c r="K575" s="413"/>
      <c r="L575" s="413"/>
      <c r="M575" s="413"/>
      <c r="N575" s="413"/>
      <c r="O575" s="413"/>
      <c r="P575" s="413"/>
      <c r="Q575" s="413"/>
      <c r="R575" s="413"/>
      <c r="S575" s="413"/>
      <c r="T575" s="413"/>
      <c r="U575" s="413"/>
      <c r="V575" s="413"/>
      <c r="W575" s="413"/>
      <c r="X575" s="413"/>
      <c r="Y575" s="413"/>
      <c r="Z575" s="413"/>
    </row>
    <row r="576" ht="12.0" customHeight="1">
      <c r="A576" s="413"/>
      <c r="B576" s="413"/>
      <c r="C576" s="414"/>
      <c r="D576" s="414"/>
      <c r="E576" s="414"/>
      <c r="F576" s="414"/>
      <c r="G576" s="413"/>
      <c r="H576" s="413"/>
      <c r="I576" s="413"/>
      <c r="J576" s="413"/>
      <c r="K576" s="413"/>
      <c r="L576" s="413"/>
      <c r="M576" s="413"/>
      <c r="N576" s="413"/>
      <c r="O576" s="413"/>
      <c r="P576" s="413"/>
      <c r="Q576" s="413"/>
      <c r="R576" s="413"/>
      <c r="S576" s="413"/>
      <c r="T576" s="413"/>
      <c r="U576" s="413"/>
      <c r="V576" s="413"/>
      <c r="W576" s="413"/>
      <c r="X576" s="413"/>
      <c r="Y576" s="413"/>
      <c r="Z576" s="413"/>
    </row>
    <row r="577" ht="12.0" customHeight="1">
      <c r="A577" s="413"/>
      <c r="B577" s="413"/>
      <c r="C577" s="414"/>
      <c r="D577" s="414"/>
      <c r="E577" s="414"/>
      <c r="F577" s="414"/>
      <c r="G577" s="413"/>
      <c r="H577" s="413"/>
      <c r="I577" s="413"/>
      <c r="J577" s="413"/>
      <c r="K577" s="413"/>
      <c r="L577" s="413"/>
      <c r="M577" s="413"/>
      <c r="N577" s="413"/>
      <c r="O577" s="413"/>
      <c r="P577" s="413"/>
      <c r="Q577" s="413"/>
      <c r="R577" s="413"/>
      <c r="S577" s="413"/>
      <c r="T577" s="413"/>
      <c r="U577" s="413"/>
      <c r="V577" s="413"/>
      <c r="W577" s="413"/>
      <c r="X577" s="413"/>
      <c r="Y577" s="413"/>
      <c r="Z577" s="413"/>
    </row>
    <row r="578" ht="12.0" customHeight="1">
      <c r="A578" s="413"/>
      <c r="B578" s="413"/>
      <c r="C578" s="414"/>
      <c r="D578" s="414"/>
      <c r="E578" s="414"/>
      <c r="F578" s="414"/>
      <c r="G578" s="413"/>
      <c r="H578" s="413"/>
      <c r="I578" s="413"/>
      <c r="J578" s="413"/>
      <c r="K578" s="413"/>
      <c r="L578" s="413"/>
      <c r="M578" s="413"/>
      <c r="N578" s="413"/>
      <c r="O578" s="413"/>
      <c r="P578" s="413"/>
      <c r="Q578" s="413"/>
      <c r="R578" s="413"/>
      <c r="S578" s="413"/>
      <c r="T578" s="413"/>
      <c r="U578" s="413"/>
      <c r="V578" s="413"/>
      <c r="W578" s="413"/>
      <c r="X578" s="413"/>
      <c r="Y578" s="413"/>
      <c r="Z578" s="413"/>
    </row>
    <row r="579" ht="12.0" customHeight="1">
      <c r="A579" s="413"/>
      <c r="B579" s="413"/>
      <c r="C579" s="414"/>
      <c r="D579" s="414"/>
      <c r="E579" s="414"/>
      <c r="F579" s="414"/>
      <c r="G579" s="413"/>
      <c r="H579" s="413"/>
      <c r="I579" s="413"/>
      <c r="J579" s="413"/>
      <c r="K579" s="413"/>
      <c r="L579" s="413"/>
      <c r="M579" s="413"/>
      <c r="N579" s="413"/>
      <c r="O579" s="413"/>
      <c r="P579" s="413"/>
      <c r="Q579" s="413"/>
      <c r="R579" s="413"/>
      <c r="S579" s="413"/>
      <c r="T579" s="413"/>
      <c r="U579" s="413"/>
      <c r="V579" s="413"/>
      <c r="W579" s="413"/>
      <c r="X579" s="413"/>
      <c r="Y579" s="413"/>
      <c r="Z579" s="413"/>
    </row>
    <row r="580" ht="12.0" customHeight="1">
      <c r="A580" s="413"/>
      <c r="B580" s="413"/>
      <c r="C580" s="414"/>
      <c r="D580" s="414"/>
      <c r="E580" s="414"/>
      <c r="F580" s="414"/>
      <c r="G580" s="413"/>
      <c r="H580" s="413"/>
      <c r="I580" s="413"/>
      <c r="J580" s="413"/>
      <c r="K580" s="413"/>
      <c r="L580" s="413"/>
      <c r="M580" s="413"/>
      <c r="N580" s="413"/>
      <c r="O580" s="413"/>
      <c r="P580" s="413"/>
      <c r="Q580" s="413"/>
      <c r="R580" s="413"/>
      <c r="S580" s="413"/>
      <c r="T580" s="413"/>
      <c r="U580" s="413"/>
      <c r="V580" s="413"/>
      <c r="W580" s="413"/>
      <c r="X580" s="413"/>
      <c r="Y580" s="413"/>
      <c r="Z580" s="413"/>
    </row>
    <row r="581" ht="12.0" customHeight="1">
      <c r="A581" s="413"/>
      <c r="B581" s="413"/>
      <c r="C581" s="414"/>
      <c r="D581" s="414"/>
      <c r="E581" s="414"/>
      <c r="F581" s="414"/>
      <c r="G581" s="413"/>
      <c r="H581" s="413"/>
      <c r="I581" s="413"/>
      <c r="J581" s="413"/>
      <c r="K581" s="413"/>
      <c r="L581" s="413"/>
      <c r="M581" s="413"/>
      <c r="N581" s="413"/>
      <c r="O581" s="413"/>
      <c r="P581" s="413"/>
      <c r="Q581" s="413"/>
      <c r="R581" s="413"/>
      <c r="S581" s="413"/>
      <c r="T581" s="413"/>
      <c r="U581" s="413"/>
      <c r="V581" s="413"/>
      <c r="W581" s="413"/>
      <c r="X581" s="413"/>
      <c r="Y581" s="413"/>
      <c r="Z581" s="413"/>
    </row>
    <row r="582" ht="12.0" customHeight="1">
      <c r="A582" s="413"/>
      <c r="B582" s="413"/>
      <c r="C582" s="414"/>
      <c r="D582" s="414"/>
      <c r="E582" s="414"/>
      <c r="F582" s="414"/>
      <c r="G582" s="413"/>
      <c r="H582" s="413"/>
      <c r="I582" s="413"/>
      <c r="J582" s="413"/>
      <c r="K582" s="413"/>
      <c r="L582" s="413"/>
      <c r="M582" s="413"/>
      <c r="N582" s="413"/>
      <c r="O582" s="413"/>
      <c r="P582" s="413"/>
      <c r="Q582" s="413"/>
      <c r="R582" s="413"/>
      <c r="S582" s="413"/>
      <c r="T582" s="413"/>
      <c r="U582" s="413"/>
      <c r="V582" s="413"/>
      <c r="W582" s="413"/>
      <c r="X582" s="413"/>
      <c r="Y582" s="413"/>
      <c r="Z582" s="413"/>
    </row>
    <row r="583" ht="12.0" customHeight="1">
      <c r="A583" s="413"/>
      <c r="B583" s="413"/>
      <c r="C583" s="414"/>
      <c r="D583" s="414"/>
      <c r="E583" s="414"/>
      <c r="F583" s="414"/>
      <c r="G583" s="413"/>
      <c r="H583" s="413"/>
      <c r="I583" s="413"/>
      <c r="J583" s="413"/>
      <c r="K583" s="413"/>
      <c r="L583" s="413"/>
      <c r="M583" s="413"/>
      <c r="N583" s="413"/>
      <c r="O583" s="413"/>
      <c r="P583" s="413"/>
      <c r="Q583" s="413"/>
      <c r="R583" s="413"/>
      <c r="S583" s="413"/>
      <c r="T583" s="413"/>
      <c r="U583" s="413"/>
      <c r="V583" s="413"/>
      <c r="W583" s="413"/>
      <c r="X583" s="413"/>
      <c r="Y583" s="413"/>
      <c r="Z583" s="413"/>
    </row>
    <row r="584" ht="12.0" customHeight="1">
      <c r="A584" s="413"/>
      <c r="B584" s="413"/>
      <c r="C584" s="414"/>
      <c r="D584" s="414"/>
      <c r="E584" s="414"/>
      <c r="F584" s="414"/>
      <c r="G584" s="413"/>
      <c r="H584" s="413"/>
      <c r="I584" s="413"/>
      <c r="J584" s="413"/>
      <c r="K584" s="413"/>
      <c r="L584" s="413"/>
      <c r="M584" s="413"/>
      <c r="N584" s="413"/>
      <c r="O584" s="413"/>
      <c r="P584" s="413"/>
      <c r="Q584" s="413"/>
      <c r="R584" s="413"/>
      <c r="S584" s="413"/>
      <c r="T584" s="413"/>
      <c r="U584" s="413"/>
      <c r="V584" s="413"/>
      <c r="W584" s="413"/>
      <c r="X584" s="413"/>
      <c r="Y584" s="413"/>
      <c r="Z584" s="413"/>
    </row>
    <row r="585" ht="12.0" customHeight="1">
      <c r="A585" s="413"/>
      <c r="B585" s="413"/>
      <c r="C585" s="414"/>
      <c r="D585" s="414"/>
      <c r="E585" s="414"/>
      <c r="F585" s="414"/>
      <c r="G585" s="413"/>
      <c r="H585" s="413"/>
      <c r="I585" s="413"/>
      <c r="J585" s="413"/>
      <c r="K585" s="413"/>
      <c r="L585" s="413"/>
      <c r="M585" s="413"/>
      <c r="N585" s="413"/>
      <c r="O585" s="413"/>
      <c r="P585" s="413"/>
      <c r="Q585" s="413"/>
      <c r="R585" s="413"/>
      <c r="S585" s="413"/>
      <c r="T585" s="413"/>
      <c r="U585" s="413"/>
      <c r="V585" s="413"/>
      <c r="W585" s="413"/>
      <c r="X585" s="413"/>
      <c r="Y585" s="413"/>
      <c r="Z585" s="413"/>
    </row>
    <row r="586" ht="12.0" customHeight="1">
      <c r="A586" s="413"/>
      <c r="B586" s="413"/>
      <c r="C586" s="414"/>
      <c r="D586" s="414"/>
      <c r="E586" s="414"/>
      <c r="F586" s="414"/>
      <c r="G586" s="413"/>
      <c r="H586" s="413"/>
      <c r="I586" s="413"/>
      <c r="J586" s="413"/>
      <c r="K586" s="413"/>
      <c r="L586" s="413"/>
      <c r="M586" s="413"/>
      <c r="N586" s="413"/>
      <c r="O586" s="413"/>
      <c r="P586" s="413"/>
      <c r="Q586" s="413"/>
      <c r="R586" s="413"/>
      <c r="S586" s="413"/>
      <c r="T586" s="413"/>
      <c r="U586" s="413"/>
      <c r="V586" s="413"/>
      <c r="W586" s="413"/>
      <c r="X586" s="413"/>
      <c r="Y586" s="413"/>
      <c r="Z586" s="413"/>
    </row>
    <row r="587" ht="12.0" customHeight="1">
      <c r="A587" s="413"/>
      <c r="B587" s="413"/>
      <c r="C587" s="414"/>
      <c r="D587" s="414"/>
      <c r="E587" s="414"/>
      <c r="F587" s="414"/>
      <c r="G587" s="413"/>
      <c r="H587" s="413"/>
      <c r="I587" s="413"/>
      <c r="J587" s="413"/>
      <c r="K587" s="413"/>
      <c r="L587" s="413"/>
      <c r="M587" s="413"/>
      <c r="N587" s="413"/>
      <c r="O587" s="413"/>
      <c r="P587" s="413"/>
      <c r="Q587" s="413"/>
      <c r="R587" s="413"/>
      <c r="S587" s="413"/>
      <c r="T587" s="413"/>
      <c r="U587" s="413"/>
      <c r="V587" s="413"/>
      <c r="W587" s="413"/>
      <c r="X587" s="413"/>
      <c r="Y587" s="413"/>
      <c r="Z587" s="413"/>
    </row>
    <row r="588" ht="12.0" customHeight="1">
      <c r="A588" s="413"/>
      <c r="B588" s="413"/>
      <c r="C588" s="414"/>
      <c r="D588" s="414"/>
      <c r="E588" s="414"/>
      <c r="F588" s="414"/>
      <c r="G588" s="413"/>
      <c r="H588" s="413"/>
      <c r="I588" s="413"/>
      <c r="J588" s="413"/>
      <c r="K588" s="413"/>
      <c r="L588" s="413"/>
      <c r="M588" s="413"/>
      <c r="N588" s="413"/>
      <c r="O588" s="413"/>
      <c r="P588" s="413"/>
      <c r="Q588" s="413"/>
      <c r="R588" s="413"/>
      <c r="S588" s="413"/>
      <c r="T588" s="413"/>
      <c r="U588" s="413"/>
      <c r="V588" s="413"/>
      <c r="W588" s="413"/>
      <c r="X588" s="413"/>
      <c r="Y588" s="413"/>
      <c r="Z588" s="413"/>
    </row>
    <row r="589" ht="12.0" customHeight="1">
      <c r="A589" s="413"/>
      <c r="B589" s="413"/>
      <c r="C589" s="414"/>
      <c r="D589" s="414"/>
      <c r="E589" s="414"/>
      <c r="F589" s="414"/>
      <c r="G589" s="413"/>
      <c r="H589" s="413"/>
      <c r="I589" s="413"/>
      <c r="J589" s="413"/>
      <c r="K589" s="413"/>
      <c r="L589" s="413"/>
      <c r="M589" s="413"/>
      <c r="N589" s="413"/>
      <c r="O589" s="413"/>
      <c r="P589" s="413"/>
      <c r="Q589" s="413"/>
      <c r="R589" s="413"/>
      <c r="S589" s="413"/>
      <c r="T589" s="413"/>
      <c r="U589" s="413"/>
      <c r="V589" s="413"/>
      <c r="W589" s="413"/>
      <c r="X589" s="413"/>
      <c r="Y589" s="413"/>
      <c r="Z589" s="413"/>
    </row>
    <row r="590" ht="12.0" customHeight="1">
      <c r="A590" s="413"/>
      <c r="B590" s="413"/>
      <c r="C590" s="414"/>
      <c r="D590" s="414"/>
      <c r="E590" s="414"/>
      <c r="F590" s="414"/>
      <c r="G590" s="413"/>
      <c r="H590" s="413"/>
      <c r="I590" s="413"/>
      <c r="J590" s="413"/>
      <c r="K590" s="413"/>
      <c r="L590" s="413"/>
      <c r="M590" s="413"/>
      <c r="N590" s="413"/>
      <c r="O590" s="413"/>
      <c r="P590" s="413"/>
      <c r="Q590" s="413"/>
      <c r="R590" s="413"/>
      <c r="S590" s="413"/>
      <c r="T590" s="413"/>
      <c r="U590" s="413"/>
      <c r="V590" s="413"/>
      <c r="W590" s="413"/>
      <c r="X590" s="413"/>
      <c r="Y590" s="413"/>
      <c r="Z590" s="413"/>
    </row>
    <row r="591" ht="12.0" customHeight="1">
      <c r="A591" s="413"/>
      <c r="B591" s="413"/>
      <c r="C591" s="414"/>
      <c r="D591" s="414"/>
      <c r="E591" s="414"/>
      <c r="F591" s="414"/>
      <c r="G591" s="413"/>
      <c r="H591" s="413"/>
      <c r="I591" s="413"/>
      <c r="J591" s="413"/>
      <c r="K591" s="413"/>
      <c r="L591" s="413"/>
      <c r="M591" s="413"/>
      <c r="N591" s="413"/>
      <c r="O591" s="413"/>
      <c r="P591" s="413"/>
      <c r="Q591" s="413"/>
      <c r="R591" s="413"/>
      <c r="S591" s="413"/>
      <c r="T591" s="413"/>
      <c r="U591" s="413"/>
      <c r="V591" s="413"/>
      <c r="W591" s="413"/>
      <c r="X591" s="413"/>
      <c r="Y591" s="413"/>
      <c r="Z591" s="413"/>
    </row>
    <row r="592" ht="12.0" customHeight="1">
      <c r="A592" s="413"/>
      <c r="B592" s="413"/>
      <c r="C592" s="414"/>
      <c r="D592" s="414"/>
      <c r="E592" s="414"/>
      <c r="F592" s="414"/>
      <c r="G592" s="413"/>
      <c r="H592" s="413"/>
      <c r="I592" s="413"/>
      <c r="J592" s="413"/>
      <c r="K592" s="413"/>
      <c r="L592" s="413"/>
      <c r="M592" s="413"/>
      <c r="N592" s="413"/>
      <c r="O592" s="413"/>
      <c r="P592" s="413"/>
      <c r="Q592" s="413"/>
      <c r="R592" s="413"/>
      <c r="S592" s="413"/>
      <c r="T592" s="413"/>
      <c r="U592" s="413"/>
      <c r="V592" s="413"/>
      <c r="W592" s="413"/>
      <c r="X592" s="413"/>
      <c r="Y592" s="413"/>
      <c r="Z592" s="413"/>
    </row>
    <row r="593" ht="12.0" customHeight="1">
      <c r="A593" s="413"/>
      <c r="B593" s="413"/>
      <c r="C593" s="414"/>
      <c r="D593" s="414"/>
      <c r="E593" s="414"/>
      <c r="F593" s="414"/>
      <c r="G593" s="413"/>
      <c r="H593" s="413"/>
      <c r="I593" s="413"/>
      <c r="J593" s="413"/>
      <c r="K593" s="413"/>
      <c r="L593" s="413"/>
      <c r="M593" s="413"/>
      <c r="N593" s="413"/>
      <c r="O593" s="413"/>
      <c r="P593" s="413"/>
      <c r="Q593" s="413"/>
      <c r="R593" s="413"/>
      <c r="S593" s="413"/>
      <c r="T593" s="413"/>
      <c r="U593" s="413"/>
      <c r="V593" s="413"/>
      <c r="W593" s="413"/>
      <c r="X593" s="413"/>
      <c r="Y593" s="413"/>
      <c r="Z593" s="413"/>
    </row>
    <row r="594" ht="12.0" customHeight="1">
      <c r="A594" s="413"/>
      <c r="B594" s="413"/>
      <c r="C594" s="414"/>
      <c r="D594" s="414"/>
      <c r="E594" s="414"/>
      <c r="F594" s="414"/>
      <c r="G594" s="413"/>
      <c r="H594" s="413"/>
      <c r="I594" s="413"/>
      <c r="J594" s="413"/>
      <c r="K594" s="413"/>
      <c r="L594" s="413"/>
      <c r="M594" s="413"/>
      <c r="N594" s="413"/>
      <c r="O594" s="413"/>
      <c r="P594" s="413"/>
      <c r="Q594" s="413"/>
      <c r="R594" s="413"/>
      <c r="S594" s="413"/>
      <c r="T594" s="413"/>
      <c r="U594" s="413"/>
      <c r="V594" s="413"/>
      <c r="W594" s="413"/>
      <c r="X594" s="413"/>
      <c r="Y594" s="413"/>
      <c r="Z594" s="413"/>
    </row>
    <row r="595" ht="12.0" customHeight="1">
      <c r="A595" s="413"/>
      <c r="B595" s="413"/>
      <c r="C595" s="414"/>
      <c r="D595" s="414"/>
      <c r="E595" s="414"/>
      <c r="F595" s="414"/>
      <c r="G595" s="413"/>
      <c r="H595" s="413"/>
      <c r="I595" s="413"/>
      <c r="J595" s="413"/>
      <c r="K595" s="413"/>
      <c r="L595" s="413"/>
      <c r="M595" s="413"/>
      <c r="N595" s="413"/>
      <c r="O595" s="413"/>
      <c r="P595" s="413"/>
      <c r="Q595" s="413"/>
      <c r="R595" s="413"/>
      <c r="S595" s="413"/>
      <c r="T595" s="413"/>
      <c r="U595" s="413"/>
      <c r="V595" s="413"/>
      <c r="W595" s="413"/>
      <c r="X595" s="413"/>
      <c r="Y595" s="413"/>
      <c r="Z595" s="413"/>
    </row>
    <row r="596" ht="12.0" customHeight="1">
      <c r="A596" s="413"/>
      <c r="B596" s="413"/>
      <c r="C596" s="414"/>
      <c r="D596" s="414"/>
      <c r="E596" s="414"/>
      <c r="F596" s="414"/>
      <c r="G596" s="413"/>
      <c r="H596" s="413"/>
      <c r="I596" s="413"/>
      <c r="J596" s="413"/>
      <c r="K596" s="413"/>
      <c r="L596" s="413"/>
      <c r="M596" s="413"/>
      <c r="N596" s="413"/>
      <c r="O596" s="413"/>
      <c r="P596" s="413"/>
      <c r="Q596" s="413"/>
      <c r="R596" s="413"/>
      <c r="S596" s="413"/>
      <c r="T596" s="413"/>
      <c r="U596" s="413"/>
      <c r="V596" s="413"/>
      <c r="W596" s="413"/>
      <c r="X596" s="413"/>
      <c r="Y596" s="413"/>
      <c r="Z596" s="413"/>
    </row>
    <row r="597" ht="12.0" customHeight="1">
      <c r="A597" s="413"/>
      <c r="B597" s="413"/>
      <c r="C597" s="414"/>
      <c r="D597" s="414"/>
      <c r="E597" s="414"/>
      <c r="F597" s="414"/>
      <c r="G597" s="413"/>
      <c r="H597" s="413"/>
      <c r="I597" s="413"/>
      <c r="J597" s="413"/>
      <c r="K597" s="413"/>
      <c r="L597" s="413"/>
      <c r="M597" s="413"/>
      <c r="N597" s="413"/>
      <c r="O597" s="413"/>
      <c r="P597" s="413"/>
      <c r="Q597" s="413"/>
      <c r="R597" s="413"/>
      <c r="S597" s="413"/>
      <c r="T597" s="413"/>
      <c r="U597" s="413"/>
      <c r="V597" s="413"/>
      <c r="W597" s="413"/>
      <c r="X597" s="413"/>
      <c r="Y597" s="413"/>
      <c r="Z597" s="413"/>
    </row>
    <row r="598" ht="12.0" customHeight="1">
      <c r="A598" s="413"/>
      <c r="B598" s="413"/>
      <c r="C598" s="414"/>
      <c r="D598" s="414"/>
      <c r="E598" s="414"/>
      <c r="F598" s="414"/>
      <c r="G598" s="413"/>
      <c r="H598" s="413"/>
      <c r="I598" s="413"/>
      <c r="J598" s="413"/>
      <c r="K598" s="413"/>
      <c r="L598" s="413"/>
      <c r="M598" s="413"/>
      <c r="N598" s="413"/>
      <c r="O598" s="413"/>
      <c r="P598" s="413"/>
      <c r="Q598" s="413"/>
      <c r="R598" s="413"/>
      <c r="S598" s="413"/>
      <c r="T598" s="413"/>
      <c r="U598" s="413"/>
      <c r="V598" s="413"/>
      <c r="W598" s="413"/>
      <c r="X598" s="413"/>
      <c r="Y598" s="413"/>
      <c r="Z598" s="413"/>
    </row>
    <row r="599" ht="12.0" customHeight="1">
      <c r="A599" s="413"/>
      <c r="B599" s="413"/>
      <c r="C599" s="414"/>
      <c r="D599" s="414"/>
      <c r="E599" s="414"/>
      <c r="F599" s="414"/>
      <c r="G599" s="413"/>
      <c r="H599" s="413"/>
      <c r="I599" s="413"/>
      <c r="J599" s="413"/>
      <c r="K599" s="413"/>
      <c r="L599" s="413"/>
      <c r="M599" s="413"/>
      <c r="N599" s="413"/>
      <c r="O599" s="413"/>
      <c r="P599" s="413"/>
      <c r="Q599" s="413"/>
      <c r="R599" s="413"/>
      <c r="S599" s="413"/>
      <c r="T599" s="413"/>
      <c r="U599" s="413"/>
      <c r="V599" s="413"/>
      <c r="W599" s="413"/>
      <c r="X599" s="413"/>
      <c r="Y599" s="413"/>
      <c r="Z599" s="413"/>
    </row>
    <row r="600" ht="12.0" customHeight="1">
      <c r="A600" s="413"/>
      <c r="B600" s="413"/>
      <c r="C600" s="414"/>
      <c r="D600" s="414"/>
      <c r="E600" s="414"/>
      <c r="F600" s="414"/>
      <c r="G600" s="413"/>
      <c r="H600" s="413"/>
      <c r="I600" s="413"/>
      <c r="J600" s="413"/>
      <c r="K600" s="413"/>
      <c r="L600" s="413"/>
      <c r="M600" s="413"/>
      <c r="N600" s="413"/>
      <c r="O600" s="413"/>
      <c r="P600" s="413"/>
      <c r="Q600" s="413"/>
      <c r="R600" s="413"/>
      <c r="S600" s="413"/>
      <c r="T600" s="413"/>
      <c r="U600" s="413"/>
      <c r="V600" s="413"/>
      <c r="W600" s="413"/>
      <c r="X600" s="413"/>
      <c r="Y600" s="413"/>
      <c r="Z600" s="413"/>
    </row>
    <row r="601" ht="12.0" customHeight="1">
      <c r="A601" s="413"/>
      <c r="B601" s="413"/>
      <c r="C601" s="414"/>
      <c r="D601" s="414"/>
      <c r="E601" s="414"/>
      <c r="F601" s="414"/>
      <c r="G601" s="413"/>
      <c r="H601" s="413"/>
      <c r="I601" s="413"/>
      <c r="J601" s="413"/>
      <c r="K601" s="413"/>
      <c r="L601" s="413"/>
      <c r="M601" s="413"/>
      <c r="N601" s="413"/>
      <c r="O601" s="413"/>
      <c r="P601" s="413"/>
      <c r="Q601" s="413"/>
      <c r="R601" s="413"/>
      <c r="S601" s="413"/>
      <c r="T601" s="413"/>
      <c r="U601" s="413"/>
      <c r="V601" s="413"/>
      <c r="W601" s="413"/>
      <c r="X601" s="413"/>
      <c r="Y601" s="413"/>
      <c r="Z601" s="413"/>
    </row>
    <row r="602" ht="12.0" customHeight="1">
      <c r="A602" s="413"/>
      <c r="B602" s="413"/>
      <c r="C602" s="414"/>
      <c r="D602" s="414"/>
      <c r="E602" s="414"/>
      <c r="F602" s="414"/>
      <c r="G602" s="413"/>
      <c r="H602" s="413"/>
      <c r="I602" s="413"/>
      <c r="J602" s="413"/>
      <c r="K602" s="413"/>
      <c r="L602" s="413"/>
      <c r="M602" s="413"/>
      <c r="N602" s="413"/>
      <c r="O602" s="413"/>
      <c r="P602" s="413"/>
      <c r="Q602" s="413"/>
      <c r="R602" s="413"/>
      <c r="S602" s="413"/>
      <c r="T602" s="413"/>
      <c r="U602" s="413"/>
      <c r="V602" s="413"/>
      <c r="W602" s="413"/>
      <c r="X602" s="413"/>
      <c r="Y602" s="413"/>
      <c r="Z602" s="413"/>
    </row>
    <row r="603" ht="12.0" customHeight="1">
      <c r="A603" s="413"/>
      <c r="B603" s="413"/>
      <c r="C603" s="414"/>
      <c r="D603" s="414"/>
      <c r="E603" s="414"/>
      <c r="F603" s="414"/>
      <c r="G603" s="413"/>
      <c r="H603" s="413"/>
      <c r="I603" s="413"/>
      <c r="J603" s="413"/>
      <c r="K603" s="413"/>
      <c r="L603" s="413"/>
      <c r="M603" s="413"/>
      <c r="N603" s="413"/>
      <c r="O603" s="413"/>
      <c r="P603" s="413"/>
      <c r="Q603" s="413"/>
      <c r="R603" s="413"/>
      <c r="S603" s="413"/>
      <c r="T603" s="413"/>
      <c r="U603" s="413"/>
      <c r="V603" s="413"/>
      <c r="W603" s="413"/>
      <c r="X603" s="413"/>
      <c r="Y603" s="413"/>
      <c r="Z603" s="413"/>
    </row>
    <row r="604" ht="12.0" customHeight="1">
      <c r="A604" s="413"/>
      <c r="B604" s="413"/>
      <c r="C604" s="414"/>
      <c r="D604" s="414"/>
      <c r="E604" s="414"/>
      <c r="F604" s="414"/>
      <c r="G604" s="413"/>
      <c r="H604" s="413"/>
      <c r="I604" s="413"/>
      <c r="J604" s="413"/>
      <c r="K604" s="413"/>
      <c r="L604" s="413"/>
      <c r="M604" s="413"/>
      <c r="N604" s="413"/>
      <c r="O604" s="413"/>
      <c r="P604" s="413"/>
      <c r="Q604" s="413"/>
      <c r="R604" s="413"/>
      <c r="S604" s="413"/>
      <c r="T604" s="413"/>
      <c r="U604" s="413"/>
      <c r="V604" s="413"/>
      <c r="W604" s="413"/>
      <c r="X604" s="413"/>
      <c r="Y604" s="413"/>
      <c r="Z604" s="413"/>
    </row>
    <row r="605" ht="12.0" customHeight="1">
      <c r="A605" s="413"/>
      <c r="B605" s="413"/>
      <c r="C605" s="414"/>
      <c r="D605" s="414"/>
      <c r="E605" s="414"/>
      <c r="F605" s="414"/>
      <c r="G605" s="413"/>
      <c r="H605" s="413"/>
      <c r="I605" s="413"/>
      <c r="J605" s="413"/>
      <c r="K605" s="413"/>
      <c r="L605" s="413"/>
      <c r="M605" s="413"/>
      <c r="N605" s="413"/>
      <c r="O605" s="413"/>
      <c r="P605" s="413"/>
      <c r="Q605" s="413"/>
      <c r="R605" s="413"/>
      <c r="S605" s="413"/>
      <c r="T605" s="413"/>
      <c r="U605" s="413"/>
      <c r="V605" s="413"/>
      <c r="W605" s="413"/>
      <c r="X605" s="413"/>
      <c r="Y605" s="413"/>
      <c r="Z605" s="413"/>
    </row>
    <row r="606" ht="12.0" customHeight="1">
      <c r="A606" s="413"/>
      <c r="B606" s="413"/>
      <c r="C606" s="414"/>
      <c r="D606" s="414"/>
      <c r="E606" s="414"/>
      <c r="F606" s="414"/>
      <c r="G606" s="413"/>
      <c r="H606" s="413"/>
      <c r="I606" s="413"/>
      <c r="J606" s="413"/>
      <c r="K606" s="413"/>
      <c r="L606" s="413"/>
      <c r="M606" s="413"/>
      <c r="N606" s="413"/>
      <c r="O606" s="413"/>
      <c r="P606" s="413"/>
      <c r="Q606" s="413"/>
      <c r="R606" s="413"/>
      <c r="S606" s="413"/>
      <c r="T606" s="413"/>
      <c r="U606" s="413"/>
      <c r="V606" s="413"/>
      <c r="W606" s="413"/>
      <c r="X606" s="413"/>
      <c r="Y606" s="413"/>
      <c r="Z606" s="413"/>
    </row>
    <row r="607" ht="12.0" customHeight="1">
      <c r="A607" s="413"/>
      <c r="B607" s="413"/>
      <c r="C607" s="414"/>
      <c r="D607" s="414"/>
      <c r="E607" s="414"/>
      <c r="F607" s="414"/>
      <c r="G607" s="413"/>
      <c r="H607" s="413"/>
      <c r="I607" s="413"/>
      <c r="J607" s="413"/>
      <c r="K607" s="413"/>
      <c r="L607" s="413"/>
      <c r="M607" s="413"/>
      <c r="N607" s="413"/>
      <c r="O607" s="413"/>
      <c r="P607" s="413"/>
      <c r="Q607" s="413"/>
      <c r="R607" s="413"/>
      <c r="S607" s="413"/>
      <c r="T607" s="413"/>
      <c r="U607" s="413"/>
      <c r="V607" s="413"/>
      <c r="W607" s="413"/>
      <c r="X607" s="413"/>
      <c r="Y607" s="413"/>
      <c r="Z607" s="413"/>
    </row>
    <row r="608" ht="12.0" customHeight="1">
      <c r="A608" s="413"/>
      <c r="B608" s="413"/>
      <c r="C608" s="414"/>
      <c r="D608" s="414"/>
      <c r="E608" s="414"/>
      <c r="F608" s="414"/>
      <c r="G608" s="413"/>
      <c r="H608" s="413"/>
      <c r="I608" s="413"/>
      <c r="J608" s="413"/>
      <c r="K608" s="413"/>
      <c r="L608" s="413"/>
      <c r="M608" s="413"/>
      <c r="N608" s="413"/>
      <c r="O608" s="413"/>
      <c r="P608" s="413"/>
      <c r="Q608" s="413"/>
      <c r="R608" s="413"/>
      <c r="S608" s="413"/>
      <c r="T608" s="413"/>
      <c r="U608" s="413"/>
      <c r="V608" s="413"/>
      <c r="W608" s="413"/>
      <c r="X608" s="413"/>
      <c r="Y608" s="413"/>
      <c r="Z608" s="413"/>
    </row>
    <row r="609" ht="12.0" customHeight="1">
      <c r="A609" s="413"/>
      <c r="B609" s="413"/>
      <c r="C609" s="414"/>
      <c r="D609" s="414"/>
      <c r="E609" s="414"/>
      <c r="F609" s="414"/>
      <c r="G609" s="413"/>
      <c r="H609" s="413"/>
      <c r="I609" s="413"/>
      <c r="J609" s="413"/>
      <c r="K609" s="413"/>
      <c r="L609" s="413"/>
      <c r="M609" s="413"/>
      <c r="N609" s="413"/>
      <c r="O609" s="413"/>
      <c r="P609" s="413"/>
      <c r="Q609" s="413"/>
      <c r="R609" s="413"/>
      <c r="S609" s="413"/>
      <c r="T609" s="413"/>
      <c r="U609" s="413"/>
      <c r="V609" s="413"/>
      <c r="W609" s="413"/>
      <c r="X609" s="413"/>
      <c r="Y609" s="413"/>
      <c r="Z609" s="413"/>
    </row>
    <row r="610" ht="12.0" customHeight="1">
      <c r="A610" s="413"/>
      <c r="B610" s="413"/>
      <c r="C610" s="414"/>
      <c r="D610" s="414"/>
      <c r="E610" s="414"/>
      <c r="F610" s="414"/>
      <c r="G610" s="413"/>
      <c r="H610" s="413"/>
      <c r="I610" s="413"/>
      <c r="J610" s="413"/>
      <c r="K610" s="413"/>
      <c r="L610" s="413"/>
      <c r="M610" s="413"/>
      <c r="N610" s="413"/>
      <c r="O610" s="413"/>
      <c r="P610" s="413"/>
      <c r="Q610" s="413"/>
      <c r="R610" s="413"/>
      <c r="S610" s="413"/>
      <c r="T610" s="413"/>
      <c r="U610" s="413"/>
      <c r="V610" s="413"/>
      <c r="W610" s="413"/>
      <c r="X610" s="413"/>
      <c r="Y610" s="413"/>
      <c r="Z610" s="413"/>
    </row>
    <row r="611" ht="12.0" customHeight="1">
      <c r="A611" s="413"/>
      <c r="B611" s="413"/>
      <c r="C611" s="414"/>
      <c r="D611" s="414"/>
      <c r="E611" s="414"/>
      <c r="F611" s="414"/>
      <c r="G611" s="413"/>
      <c r="H611" s="413"/>
      <c r="I611" s="413"/>
      <c r="J611" s="413"/>
      <c r="K611" s="413"/>
      <c r="L611" s="413"/>
      <c r="M611" s="413"/>
      <c r="N611" s="413"/>
      <c r="O611" s="413"/>
      <c r="P611" s="413"/>
      <c r="Q611" s="413"/>
      <c r="R611" s="413"/>
      <c r="S611" s="413"/>
      <c r="T611" s="413"/>
      <c r="U611" s="413"/>
      <c r="V611" s="413"/>
      <c r="W611" s="413"/>
      <c r="X611" s="413"/>
      <c r="Y611" s="413"/>
      <c r="Z611" s="413"/>
    </row>
    <row r="612" ht="12.0" customHeight="1">
      <c r="A612" s="413"/>
      <c r="B612" s="413"/>
      <c r="C612" s="414"/>
      <c r="D612" s="414"/>
      <c r="E612" s="414"/>
      <c r="F612" s="414"/>
      <c r="G612" s="413"/>
      <c r="H612" s="413"/>
      <c r="I612" s="413"/>
      <c r="J612" s="413"/>
      <c r="K612" s="413"/>
      <c r="L612" s="413"/>
      <c r="M612" s="413"/>
      <c r="N612" s="413"/>
      <c r="O612" s="413"/>
      <c r="P612" s="413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</row>
    <row r="613" ht="12.0" customHeight="1">
      <c r="A613" s="413"/>
      <c r="B613" s="413"/>
      <c r="C613" s="414"/>
      <c r="D613" s="414"/>
      <c r="E613" s="414"/>
      <c r="F613" s="414"/>
      <c r="G613" s="413"/>
      <c r="H613" s="413"/>
      <c r="I613" s="413"/>
      <c r="J613" s="413"/>
      <c r="K613" s="413"/>
      <c r="L613" s="413"/>
      <c r="M613" s="413"/>
      <c r="N613" s="413"/>
      <c r="O613" s="413"/>
      <c r="P613" s="413"/>
      <c r="Q613" s="413"/>
      <c r="R613" s="413"/>
      <c r="S613" s="413"/>
      <c r="T613" s="413"/>
      <c r="U613" s="413"/>
      <c r="V613" s="413"/>
      <c r="W613" s="413"/>
      <c r="X613" s="413"/>
      <c r="Y613" s="413"/>
      <c r="Z613" s="413"/>
    </row>
    <row r="614" ht="12.0" customHeight="1">
      <c r="A614" s="413"/>
      <c r="B614" s="413"/>
      <c r="C614" s="414"/>
      <c r="D614" s="414"/>
      <c r="E614" s="414"/>
      <c r="F614" s="414"/>
      <c r="G614" s="413"/>
      <c r="H614" s="413"/>
      <c r="I614" s="413"/>
      <c r="J614" s="413"/>
      <c r="K614" s="413"/>
      <c r="L614" s="413"/>
      <c r="M614" s="413"/>
      <c r="N614" s="413"/>
      <c r="O614" s="413"/>
      <c r="P614" s="413"/>
      <c r="Q614" s="413"/>
      <c r="R614" s="413"/>
      <c r="S614" s="413"/>
      <c r="T614" s="413"/>
      <c r="U614" s="413"/>
      <c r="V614" s="413"/>
      <c r="W614" s="413"/>
      <c r="X614" s="413"/>
      <c r="Y614" s="413"/>
      <c r="Z614" s="413"/>
    </row>
    <row r="615" ht="12.0" customHeight="1">
      <c r="A615" s="413"/>
      <c r="B615" s="413"/>
      <c r="C615" s="414"/>
      <c r="D615" s="414"/>
      <c r="E615" s="414"/>
      <c r="F615" s="414"/>
      <c r="G615" s="413"/>
      <c r="H615" s="413"/>
      <c r="I615" s="413"/>
      <c r="J615" s="413"/>
      <c r="K615" s="413"/>
      <c r="L615" s="413"/>
      <c r="M615" s="413"/>
      <c r="N615" s="413"/>
      <c r="O615" s="413"/>
      <c r="P615" s="413"/>
      <c r="Q615" s="413"/>
      <c r="R615" s="413"/>
      <c r="S615" s="413"/>
      <c r="T615" s="413"/>
      <c r="U615" s="413"/>
      <c r="V615" s="413"/>
      <c r="W615" s="413"/>
      <c r="X615" s="413"/>
      <c r="Y615" s="413"/>
      <c r="Z615" s="413"/>
    </row>
    <row r="616" ht="12.0" customHeight="1">
      <c r="A616" s="413"/>
      <c r="B616" s="413"/>
      <c r="C616" s="414"/>
      <c r="D616" s="414"/>
      <c r="E616" s="414"/>
      <c r="F616" s="414"/>
      <c r="G616" s="413"/>
      <c r="H616" s="413"/>
      <c r="I616" s="413"/>
      <c r="J616" s="413"/>
      <c r="K616" s="413"/>
      <c r="L616" s="413"/>
      <c r="M616" s="413"/>
      <c r="N616" s="413"/>
      <c r="O616" s="413"/>
      <c r="P616" s="413"/>
      <c r="Q616" s="413"/>
      <c r="R616" s="413"/>
      <c r="S616" s="413"/>
      <c r="T616" s="413"/>
      <c r="U616" s="413"/>
      <c r="V616" s="413"/>
      <c r="W616" s="413"/>
      <c r="X616" s="413"/>
      <c r="Y616" s="413"/>
      <c r="Z616" s="413"/>
    </row>
    <row r="617" ht="12.0" customHeight="1">
      <c r="A617" s="413"/>
      <c r="B617" s="413"/>
      <c r="C617" s="414"/>
      <c r="D617" s="414"/>
      <c r="E617" s="414"/>
      <c r="F617" s="414"/>
      <c r="G617" s="413"/>
      <c r="H617" s="413"/>
      <c r="I617" s="413"/>
      <c r="J617" s="413"/>
      <c r="K617" s="413"/>
      <c r="L617" s="413"/>
      <c r="M617" s="413"/>
      <c r="N617" s="413"/>
      <c r="O617" s="413"/>
      <c r="P617" s="413"/>
      <c r="Q617" s="413"/>
      <c r="R617" s="413"/>
      <c r="S617" s="413"/>
      <c r="T617" s="413"/>
      <c r="U617" s="413"/>
      <c r="V617" s="413"/>
      <c r="W617" s="413"/>
      <c r="X617" s="413"/>
      <c r="Y617" s="413"/>
      <c r="Z617" s="413"/>
    </row>
    <row r="618" ht="12.0" customHeight="1">
      <c r="A618" s="413"/>
      <c r="B618" s="413"/>
      <c r="C618" s="414"/>
      <c r="D618" s="414"/>
      <c r="E618" s="414"/>
      <c r="F618" s="414"/>
      <c r="G618" s="413"/>
      <c r="H618" s="413"/>
      <c r="I618" s="413"/>
      <c r="J618" s="413"/>
      <c r="K618" s="413"/>
      <c r="L618" s="413"/>
      <c r="M618" s="413"/>
      <c r="N618" s="413"/>
      <c r="O618" s="413"/>
      <c r="P618" s="413"/>
      <c r="Q618" s="413"/>
      <c r="R618" s="413"/>
      <c r="S618" s="413"/>
      <c r="T618" s="413"/>
      <c r="U618" s="413"/>
      <c r="V618" s="413"/>
      <c r="W618" s="413"/>
      <c r="X618" s="413"/>
      <c r="Y618" s="413"/>
      <c r="Z618" s="413"/>
    </row>
    <row r="619" ht="12.0" customHeight="1">
      <c r="A619" s="413"/>
      <c r="B619" s="413"/>
      <c r="C619" s="414"/>
      <c r="D619" s="414"/>
      <c r="E619" s="414"/>
      <c r="F619" s="414"/>
      <c r="G619" s="413"/>
      <c r="H619" s="413"/>
      <c r="I619" s="413"/>
      <c r="J619" s="413"/>
      <c r="K619" s="413"/>
      <c r="L619" s="413"/>
      <c r="M619" s="413"/>
      <c r="N619" s="413"/>
      <c r="O619" s="413"/>
      <c r="P619" s="413"/>
      <c r="Q619" s="413"/>
      <c r="R619" s="413"/>
      <c r="S619" s="413"/>
      <c r="T619" s="413"/>
      <c r="U619" s="413"/>
      <c r="V619" s="413"/>
      <c r="W619" s="413"/>
      <c r="X619" s="413"/>
      <c r="Y619" s="413"/>
      <c r="Z619" s="413"/>
    </row>
    <row r="620" ht="12.0" customHeight="1">
      <c r="A620" s="413"/>
      <c r="B620" s="413"/>
      <c r="C620" s="414"/>
      <c r="D620" s="414"/>
      <c r="E620" s="414"/>
      <c r="F620" s="414"/>
      <c r="G620" s="413"/>
      <c r="H620" s="413"/>
      <c r="I620" s="413"/>
      <c r="J620" s="413"/>
      <c r="K620" s="413"/>
      <c r="L620" s="413"/>
      <c r="M620" s="413"/>
      <c r="N620" s="413"/>
      <c r="O620" s="413"/>
      <c r="P620" s="413"/>
      <c r="Q620" s="413"/>
      <c r="R620" s="413"/>
      <c r="S620" s="413"/>
      <c r="T620" s="413"/>
      <c r="U620" s="413"/>
      <c r="V620" s="413"/>
      <c r="W620" s="413"/>
      <c r="X620" s="413"/>
      <c r="Y620" s="413"/>
      <c r="Z620" s="413"/>
    </row>
    <row r="621" ht="12.0" customHeight="1">
      <c r="A621" s="413"/>
      <c r="B621" s="413"/>
      <c r="C621" s="414"/>
      <c r="D621" s="414"/>
      <c r="E621" s="414"/>
      <c r="F621" s="414"/>
      <c r="G621" s="413"/>
      <c r="H621" s="413"/>
      <c r="I621" s="413"/>
      <c r="J621" s="413"/>
      <c r="K621" s="413"/>
      <c r="L621" s="413"/>
      <c r="M621" s="413"/>
      <c r="N621" s="413"/>
      <c r="O621" s="413"/>
      <c r="P621" s="413"/>
      <c r="Q621" s="413"/>
      <c r="R621" s="413"/>
      <c r="S621" s="413"/>
      <c r="T621" s="413"/>
      <c r="U621" s="413"/>
      <c r="V621" s="413"/>
      <c r="W621" s="413"/>
      <c r="X621" s="413"/>
      <c r="Y621" s="413"/>
      <c r="Z621" s="413"/>
    </row>
    <row r="622" ht="12.0" customHeight="1">
      <c r="A622" s="413"/>
      <c r="B622" s="413"/>
      <c r="C622" s="414"/>
      <c r="D622" s="414"/>
      <c r="E622" s="414"/>
      <c r="F622" s="414"/>
      <c r="G622" s="413"/>
      <c r="H622" s="413"/>
      <c r="I622" s="413"/>
      <c r="J622" s="413"/>
      <c r="K622" s="413"/>
      <c r="L622" s="413"/>
      <c r="M622" s="413"/>
      <c r="N622" s="413"/>
      <c r="O622" s="413"/>
      <c r="P622" s="413"/>
      <c r="Q622" s="413"/>
      <c r="R622" s="413"/>
      <c r="S622" s="413"/>
      <c r="T622" s="413"/>
      <c r="U622" s="413"/>
      <c r="V622" s="413"/>
      <c r="W622" s="413"/>
      <c r="X622" s="413"/>
      <c r="Y622" s="413"/>
      <c r="Z622" s="413"/>
    </row>
    <row r="623" ht="12.0" customHeight="1">
      <c r="A623" s="413"/>
      <c r="B623" s="413"/>
      <c r="C623" s="414"/>
      <c r="D623" s="414"/>
      <c r="E623" s="414"/>
      <c r="F623" s="414"/>
      <c r="G623" s="413"/>
      <c r="H623" s="413"/>
      <c r="I623" s="413"/>
      <c r="J623" s="413"/>
      <c r="K623" s="413"/>
      <c r="L623" s="413"/>
      <c r="M623" s="413"/>
      <c r="N623" s="413"/>
      <c r="O623" s="413"/>
      <c r="P623" s="413"/>
      <c r="Q623" s="413"/>
      <c r="R623" s="413"/>
      <c r="S623" s="413"/>
      <c r="T623" s="413"/>
      <c r="U623" s="413"/>
      <c r="V623" s="413"/>
      <c r="W623" s="413"/>
      <c r="X623" s="413"/>
      <c r="Y623" s="413"/>
      <c r="Z623" s="413"/>
    </row>
    <row r="624" ht="12.0" customHeight="1">
      <c r="A624" s="413"/>
      <c r="B624" s="413"/>
      <c r="C624" s="414"/>
      <c r="D624" s="414"/>
      <c r="E624" s="414"/>
      <c r="F624" s="414"/>
      <c r="G624" s="413"/>
      <c r="H624" s="413"/>
      <c r="I624" s="413"/>
      <c r="J624" s="413"/>
      <c r="K624" s="413"/>
      <c r="L624" s="413"/>
      <c r="M624" s="413"/>
      <c r="N624" s="413"/>
      <c r="O624" s="413"/>
      <c r="P624" s="413"/>
      <c r="Q624" s="413"/>
      <c r="R624" s="413"/>
      <c r="S624" s="413"/>
      <c r="T624" s="413"/>
      <c r="U624" s="413"/>
      <c r="V624" s="413"/>
      <c r="W624" s="413"/>
      <c r="X624" s="413"/>
      <c r="Y624" s="413"/>
      <c r="Z624" s="413"/>
    </row>
    <row r="625" ht="12.0" customHeight="1">
      <c r="A625" s="413"/>
      <c r="B625" s="413"/>
      <c r="C625" s="414"/>
      <c r="D625" s="414"/>
      <c r="E625" s="414"/>
      <c r="F625" s="414"/>
      <c r="G625" s="413"/>
      <c r="H625" s="413"/>
      <c r="I625" s="413"/>
      <c r="J625" s="413"/>
      <c r="K625" s="413"/>
      <c r="L625" s="413"/>
      <c r="M625" s="413"/>
      <c r="N625" s="413"/>
      <c r="O625" s="413"/>
      <c r="P625" s="413"/>
      <c r="Q625" s="413"/>
      <c r="R625" s="413"/>
      <c r="S625" s="413"/>
      <c r="T625" s="413"/>
      <c r="U625" s="413"/>
      <c r="V625" s="413"/>
      <c r="W625" s="413"/>
      <c r="X625" s="413"/>
      <c r="Y625" s="413"/>
      <c r="Z625" s="413"/>
    </row>
    <row r="626" ht="12.0" customHeight="1">
      <c r="A626" s="413"/>
      <c r="B626" s="413"/>
      <c r="C626" s="414"/>
      <c r="D626" s="414"/>
      <c r="E626" s="414"/>
      <c r="F626" s="414"/>
      <c r="G626" s="413"/>
      <c r="H626" s="413"/>
      <c r="I626" s="413"/>
      <c r="J626" s="413"/>
      <c r="K626" s="413"/>
      <c r="L626" s="413"/>
      <c r="M626" s="413"/>
      <c r="N626" s="413"/>
      <c r="O626" s="413"/>
      <c r="P626" s="413"/>
      <c r="Q626" s="413"/>
      <c r="R626" s="413"/>
      <c r="S626" s="413"/>
      <c r="T626" s="413"/>
      <c r="U626" s="413"/>
      <c r="V626" s="413"/>
      <c r="W626" s="413"/>
      <c r="X626" s="413"/>
      <c r="Y626" s="413"/>
      <c r="Z626" s="413"/>
    </row>
    <row r="627" ht="12.0" customHeight="1">
      <c r="A627" s="413"/>
      <c r="B627" s="413"/>
      <c r="C627" s="414"/>
      <c r="D627" s="414"/>
      <c r="E627" s="414"/>
      <c r="F627" s="414"/>
      <c r="G627" s="413"/>
      <c r="H627" s="413"/>
      <c r="I627" s="413"/>
      <c r="J627" s="413"/>
      <c r="K627" s="413"/>
      <c r="L627" s="413"/>
      <c r="M627" s="413"/>
      <c r="N627" s="413"/>
      <c r="O627" s="413"/>
      <c r="P627" s="413"/>
      <c r="Q627" s="413"/>
      <c r="R627" s="413"/>
      <c r="S627" s="413"/>
      <c r="T627" s="413"/>
      <c r="U627" s="413"/>
      <c r="V627" s="413"/>
      <c r="W627" s="413"/>
      <c r="X627" s="413"/>
      <c r="Y627" s="413"/>
      <c r="Z627" s="413"/>
    </row>
    <row r="628" ht="12.0" customHeight="1">
      <c r="A628" s="413"/>
      <c r="B628" s="413"/>
      <c r="C628" s="414"/>
      <c r="D628" s="414"/>
      <c r="E628" s="414"/>
      <c r="F628" s="414"/>
      <c r="G628" s="413"/>
      <c r="H628" s="413"/>
      <c r="I628" s="413"/>
      <c r="J628" s="413"/>
      <c r="K628" s="413"/>
      <c r="L628" s="413"/>
      <c r="M628" s="413"/>
      <c r="N628" s="413"/>
      <c r="O628" s="413"/>
      <c r="P628" s="413"/>
      <c r="Q628" s="413"/>
      <c r="R628" s="413"/>
      <c r="S628" s="413"/>
      <c r="T628" s="413"/>
      <c r="U628" s="413"/>
      <c r="V628" s="413"/>
      <c r="W628" s="413"/>
      <c r="X628" s="413"/>
      <c r="Y628" s="413"/>
      <c r="Z628" s="413"/>
    </row>
    <row r="629" ht="12.0" customHeight="1">
      <c r="A629" s="413"/>
      <c r="B629" s="413"/>
      <c r="C629" s="414"/>
      <c r="D629" s="414"/>
      <c r="E629" s="414"/>
      <c r="F629" s="414"/>
      <c r="G629" s="413"/>
      <c r="H629" s="413"/>
      <c r="I629" s="413"/>
      <c r="J629" s="413"/>
      <c r="K629" s="413"/>
      <c r="L629" s="413"/>
      <c r="M629" s="413"/>
      <c r="N629" s="413"/>
      <c r="O629" s="413"/>
      <c r="P629" s="413"/>
      <c r="Q629" s="413"/>
      <c r="R629" s="413"/>
      <c r="S629" s="413"/>
      <c r="T629" s="413"/>
      <c r="U629" s="413"/>
      <c r="V629" s="413"/>
      <c r="W629" s="413"/>
      <c r="X629" s="413"/>
      <c r="Y629" s="413"/>
      <c r="Z629" s="413"/>
    </row>
    <row r="630" ht="12.0" customHeight="1">
      <c r="A630" s="413"/>
      <c r="B630" s="413"/>
      <c r="C630" s="414"/>
      <c r="D630" s="414"/>
      <c r="E630" s="414"/>
      <c r="F630" s="414"/>
      <c r="G630" s="413"/>
      <c r="H630" s="413"/>
      <c r="I630" s="413"/>
      <c r="J630" s="413"/>
      <c r="K630" s="413"/>
      <c r="L630" s="413"/>
      <c r="M630" s="413"/>
      <c r="N630" s="413"/>
      <c r="O630" s="413"/>
      <c r="P630" s="413"/>
      <c r="Q630" s="413"/>
      <c r="R630" s="413"/>
      <c r="S630" s="413"/>
      <c r="T630" s="413"/>
      <c r="U630" s="413"/>
      <c r="V630" s="413"/>
      <c r="W630" s="413"/>
      <c r="X630" s="413"/>
      <c r="Y630" s="413"/>
      <c r="Z630" s="413"/>
    </row>
    <row r="631" ht="12.0" customHeight="1">
      <c r="A631" s="413"/>
      <c r="B631" s="413"/>
      <c r="C631" s="414"/>
      <c r="D631" s="414"/>
      <c r="E631" s="414"/>
      <c r="F631" s="414"/>
      <c r="G631" s="413"/>
      <c r="H631" s="413"/>
      <c r="I631" s="413"/>
      <c r="J631" s="413"/>
      <c r="K631" s="413"/>
      <c r="L631" s="413"/>
      <c r="M631" s="413"/>
      <c r="N631" s="413"/>
      <c r="O631" s="413"/>
      <c r="P631" s="413"/>
      <c r="Q631" s="413"/>
      <c r="R631" s="413"/>
      <c r="S631" s="413"/>
      <c r="T631" s="413"/>
      <c r="U631" s="413"/>
      <c r="V631" s="413"/>
      <c r="W631" s="413"/>
      <c r="X631" s="413"/>
      <c r="Y631" s="413"/>
      <c r="Z631" s="413"/>
    </row>
    <row r="632" ht="12.0" customHeight="1">
      <c r="A632" s="413"/>
      <c r="B632" s="413"/>
      <c r="C632" s="414"/>
      <c r="D632" s="414"/>
      <c r="E632" s="414"/>
      <c r="F632" s="414"/>
      <c r="G632" s="413"/>
      <c r="H632" s="413"/>
      <c r="I632" s="413"/>
      <c r="J632" s="413"/>
      <c r="K632" s="413"/>
      <c r="L632" s="413"/>
      <c r="M632" s="413"/>
      <c r="N632" s="413"/>
      <c r="O632" s="413"/>
      <c r="P632" s="413"/>
      <c r="Q632" s="413"/>
      <c r="R632" s="413"/>
      <c r="S632" s="413"/>
      <c r="T632" s="413"/>
      <c r="U632" s="413"/>
      <c r="V632" s="413"/>
      <c r="W632" s="413"/>
      <c r="X632" s="413"/>
      <c r="Y632" s="413"/>
      <c r="Z632" s="413"/>
    </row>
    <row r="633" ht="12.0" customHeight="1">
      <c r="A633" s="413"/>
      <c r="B633" s="413"/>
      <c r="C633" s="414"/>
      <c r="D633" s="414"/>
      <c r="E633" s="414"/>
      <c r="F633" s="414"/>
      <c r="G633" s="413"/>
      <c r="H633" s="413"/>
      <c r="I633" s="413"/>
      <c r="J633" s="413"/>
      <c r="K633" s="413"/>
      <c r="L633" s="413"/>
      <c r="M633" s="413"/>
      <c r="N633" s="413"/>
      <c r="O633" s="413"/>
      <c r="P633" s="413"/>
      <c r="Q633" s="413"/>
      <c r="R633" s="413"/>
      <c r="S633" s="413"/>
      <c r="T633" s="413"/>
      <c r="U633" s="413"/>
      <c r="V633" s="413"/>
      <c r="W633" s="413"/>
      <c r="X633" s="413"/>
      <c r="Y633" s="413"/>
      <c r="Z633" s="413"/>
    </row>
    <row r="634" ht="12.0" customHeight="1">
      <c r="A634" s="413"/>
      <c r="B634" s="413"/>
      <c r="C634" s="414"/>
      <c r="D634" s="414"/>
      <c r="E634" s="414"/>
      <c r="F634" s="414"/>
      <c r="G634" s="413"/>
      <c r="H634" s="413"/>
      <c r="I634" s="413"/>
      <c r="J634" s="413"/>
      <c r="K634" s="413"/>
      <c r="L634" s="413"/>
      <c r="M634" s="413"/>
      <c r="N634" s="413"/>
      <c r="O634" s="413"/>
      <c r="P634" s="413"/>
      <c r="Q634" s="413"/>
      <c r="R634" s="413"/>
      <c r="S634" s="413"/>
      <c r="T634" s="413"/>
      <c r="U634" s="413"/>
      <c r="V634" s="413"/>
      <c r="W634" s="413"/>
      <c r="X634" s="413"/>
      <c r="Y634" s="413"/>
      <c r="Z634" s="413"/>
    </row>
    <row r="635" ht="12.0" customHeight="1">
      <c r="A635" s="413"/>
      <c r="B635" s="413"/>
      <c r="C635" s="414"/>
      <c r="D635" s="414"/>
      <c r="E635" s="414"/>
      <c r="F635" s="414"/>
      <c r="G635" s="413"/>
      <c r="H635" s="413"/>
      <c r="I635" s="413"/>
      <c r="J635" s="413"/>
      <c r="K635" s="413"/>
      <c r="L635" s="413"/>
      <c r="M635" s="413"/>
      <c r="N635" s="413"/>
      <c r="O635" s="413"/>
      <c r="P635" s="413"/>
      <c r="Q635" s="413"/>
      <c r="R635" s="413"/>
      <c r="S635" s="413"/>
      <c r="T635" s="413"/>
      <c r="U635" s="413"/>
      <c r="V635" s="413"/>
      <c r="W635" s="413"/>
      <c r="X635" s="413"/>
      <c r="Y635" s="413"/>
      <c r="Z635" s="413"/>
    </row>
    <row r="636" ht="12.0" customHeight="1">
      <c r="A636" s="413"/>
      <c r="B636" s="413"/>
      <c r="C636" s="414"/>
      <c r="D636" s="414"/>
      <c r="E636" s="414"/>
      <c r="F636" s="414"/>
      <c r="G636" s="413"/>
      <c r="H636" s="413"/>
      <c r="I636" s="413"/>
      <c r="J636" s="413"/>
      <c r="K636" s="413"/>
      <c r="L636" s="413"/>
      <c r="M636" s="413"/>
      <c r="N636" s="413"/>
      <c r="O636" s="413"/>
      <c r="P636" s="413"/>
      <c r="Q636" s="413"/>
      <c r="R636" s="413"/>
      <c r="S636" s="413"/>
      <c r="T636" s="413"/>
      <c r="U636" s="413"/>
      <c r="V636" s="413"/>
      <c r="W636" s="413"/>
      <c r="X636" s="413"/>
      <c r="Y636" s="413"/>
      <c r="Z636" s="413"/>
    </row>
    <row r="637" ht="12.0" customHeight="1">
      <c r="A637" s="413"/>
      <c r="B637" s="413"/>
      <c r="C637" s="414"/>
      <c r="D637" s="414"/>
      <c r="E637" s="414"/>
      <c r="F637" s="414"/>
      <c r="G637" s="413"/>
      <c r="H637" s="413"/>
      <c r="I637" s="413"/>
      <c r="J637" s="413"/>
      <c r="K637" s="413"/>
      <c r="L637" s="413"/>
      <c r="M637" s="413"/>
      <c r="N637" s="413"/>
      <c r="O637" s="413"/>
      <c r="P637" s="413"/>
      <c r="Q637" s="413"/>
      <c r="R637" s="413"/>
      <c r="S637" s="413"/>
      <c r="T637" s="413"/>
      <c r="U637" s="413"/>
      <c r="V637" s="413"/>
      <c r="W637" s="413"/>
      <c r="X637" s="413"/>
      <c r="Y637" s="413"/>
      <c r="Z637" s="413"/>
    </row>
    <row r="638" ht="12.0" customHeight="1">
      <c r="A638" s="413"/>
      <c r="B638" s="413"/>
      <c r="C638" s="414"/>
      <c r="D638" s="414"/>
      <c r="E638" s="414"/>
      <c r="F638" s="414"/>
      <c r="G638" s="413"/>
      <c r="H638" s="413"/>
      <c r="I638" s="413"/>
      <c r="J638" s="413"/>
      <c r="K638" s="413"/>
      <c r="L638" s="413"/>
      <c r="M638" s="413"/>
      <c r="N638" s="413"/>
      <c r="O638" s="413"/>
      <c r="P638" s="413"/>
      <c r="Q638" s="413"/>
      <c r="R638" s="413"/>
      <c r="S638" s="413"/>
      <c r="T638" s="413"/>
      <c r="U638" s="413"/>
      <c r="V638" s="413"/>
      <c r="W638" s="413"/>
      <c r="X638" s="413"/>
      <c r="Y638" s="413"/>
      <c r="Z638" s="413"/>
    </row>
    <row r="639" ht="12.0" customHeight="1">
      <c r="A639" s="413"/>
      <c r="B639" s="413"/>
      <c r="C639" s="414"/>
      <c r="D639" s="414"/>
      <c r="E639" s="414"/>
      <c r="F639" s="414"/>
      <c r="G639" s="413"/>
      <c r="H639" s="413"/>
      <c r="I639" s="413"/>
      <c r="J639" s="413"/>
      <c r="K639" s="413"/>
      <c r="L639" s="413"/>
      <c r="M639" s="413"/>
      <c r="N639" s="413"/>
      <c r="O639" s="413"/>
      <c r="P639" s="413"/>
      <c r="Q639" s="413"/>
      <c r="R639" s="413"/>
      <c r="S639" s="413"/>
      <c r="T639" s="413"/>
      <c r="U639" s="413"/>
      <c r="V639" s="413"/>
      <c r="W639" s="413"/>
      <c r="X639" s="413"/>
      <c r="Y639" s="413"/>
      <c r="Z639" s="413"/>
    </row>
    <row r="640" ht="12.0" customHeight="1">
      <c r="A640" s="413"/>
      <c r="B640" s="413"/>
      <c r="C640" s="414"/>
      <c r="D640" s="414"/>
      <c r="E640" s="414"/>
      <c r="F640" s="414"/>
      <c r="G640" s="413"/>
      <c r="H640" s="413"/>
      <c r="I640" s="413"/>
      <c r="J640" s="413"/>
      <c r="K640" s="413"/>
      <c r="L640" s="413"/>
      <c r="M640" s="413"/>
      <c r="N640" s="413"/>
      <c r="O640" s="413"/>
      <c r="P640" s="413"/>
      <c r="Q640" s="413"/>
      <c r="R640" s="413"/>
      <c r="S640" s="413"/>
      <c r="T640" s="413"/>
      <c r="U640" s="413"/>
      <c r="V640" s="413"/>
      <c r="W640" s="413"/>
      <c r="X640" s="413"/>
      <c r="Y640" s="413"/>
      <c r="Z640" s="413"/>
    </row>
    <row r="641" ht="12.0" customHeight="1">
      <c r="A641" s="413"/>
      <c r="B641" s="413"/>
      <c r="C641" s="414"/>
      <c r="D641" s="414"/>
      <c r="E641" s="414"/>
      <c r="F641" s="414"/>
      <c r="G641" s="413"/>
      <c r="H641" s="413"/>
      <c r="I641" s="413"/>
      <c r="J641" s="413"/>
      <c r="K641" s="413"/>
      <c r="L641" s="413"/>
      <c r="M641" s="413"/>
      <c r="N641" s="413"/>
      <c r="O641" s="413"/>
      <c r="P641" s="413"/>
      <c r="Q641" s="413"/>
      <c r="R641" s="413"/>
      <c r="S641" s="413"/>
      <c r="T641" s="413"/>
      <c r="U641" s="413"/>
      <c r="V641" s="413"/>
      <c r="W641" s="413"/>
      <c r="X641" s="413"/>
      <c r="Y641" s="413"/>
      <c r="Z641" s="413"/>
    </row>
    <row r="642" ht="12.0" customHeight="1">
      <c r="A642" s="413"/>
      <c r="B642" s="413"/>
      <c r="C642" s="414"/>
      <c r="D642" s="414"/>
      <c r="E642" s="414"/>
      <c r="F642" s="414"/>
      <c r="G642" s="413"/>
      <c r="H642" s="413"/>
      <c r="I642" s="413"/>
      <c r="J642" s="413"/>
      <c r="K642" s="413"/>
      <c r="L642" s="413"/>
      <c r="M642" s="413"/>
      <c r="N642" s="413"/>
      <c r="O642" s="413"/>
      <c r="P642" s="413"/>
      <c r="Q642" s="413"/>
      <c r="R642" s="413"/>
      <c r="S642" s="413"/>
      <c r="T642" s="413"/>
      <c r="U642" s="413"/>
      <c r="V642" s="413"/>
      <c r="W642" s="413"/>
      <c r="X642" s="413"/>
      <c r="Y642" s="413"/>
      <c r="Z642" s="413"/>
    </row>
    <row r="643" ht="12.0" customHeight="1">
      <c r="A643" s="413"/>
      <c r="B643" s="413"/>
      <c r="C643" s="414"/>
      <c r="D643" s="414"/>
      <c r="E643" s="414"/>
      <c r="F643" s="414"/>
      <c r="G643" s="413"/>
      <c r="H643" s="413"/>
      <c r="I643" s="413"/>
      <c r="J643" s="413"/>
      <c r="K643" s="413"/>
      <c r="L643" s="413"/>
      <c r="M643" s="413"/>
      <c r="N643" s="413"/>
      <c r="O643" s="413"/>
      <c r="P643" s="413"/>
      <c r="Q643" s="413"/>
      <c r="R643" s="413"/>
      <c r="S643" s="413"/>
      <c r="T643" s="413"/>
      <c r="U643" s="413"/>
      <c r="V643" s="413"/>
      <c r="W643" s="413"/>
      <c r="X643" s="413"/>
      <c r="Y643" s="413"/>
      <c r="Z643" s="413"/>
    </row>
    <row r="644" ht="12.0" customHeight="1">
      <c r="A644" s="413"/>
      <c r="B644" s="413"/>
      <c r="C644" s="414"/>
      <c r="D644" s="414"/>
      <c r="E644" s="414"/>
      <c r="F644" s="414"/>
      <c r="G644" s="413"/>
      <c r="H644" s="413"/>
      <c r="I644" s="413"/>
      <c r="J644" s="413"/>
      <c r="K644" s="413"/>
      <c r="L644" s="413"/>
      <c r="M644" s="413"/>
      <c r="N644" s="413"/>
      <c r="O644" s="413"/>
      <c r="P644" s="413"/>
      <c r="Q644" s="413"/>
      <c r="R644" s="413"/>
      <c r="S644" s="413"/>
      <c r="T644" s="413"/>
      <c r="U644" s="413"/>
      <c r="V644" s="413"/>
      <c r="W644" s="413"/>
      <c r="X644" s="413"/>
      <c r="Y644" s="413"/>
      <c r="Z644" s="413"/>
    </row>
    <row r="645" ht="12.0" customHeight="1">
      <c r="A645" s="413"/>
      <c r="B645" s="413"/>
      <c r="C645" s="414"/>
      <c r="D645" s="414"/>
      <c r="E645" s="414"/>
      <c r="F645" s="414"/>
      <c r="G645" s="413"/>
      <c r="H645" s="413"/>
      <c r="I645" s="413"/>
      <c r="J645" s="413"/>
      <c r="K645" s="413"/>
      <c r="L645" s="413"/>
      <c r="M645" s="413"/>
      <c r="N645" s="413"/>
      <c r="O645" s="413"/>
      <c r="P645" s="413"/>
      <c r="Q645" s="413"/>
      <c r="R645" s="413"/>
      <c r="S645" s="413"/>
      <c r="T645" s="413"/>
      <c r="U645" s="413"/>
      <c r="V645" s="413"/>
      <c r="W645" s="413"/>
      <c r="X645" s="413"/>
      <c r="Y645" s="413"/>
      <c r="Z645" s="413"/>
    </row>
    <row r="646" ht="12.0" customHeight="1">
      <c r="A646" s="413"/>
      <c r="B646" s="413"/>
      <c r="C646" s="414"/>
      <c r="D646" s="414"/>
      <c r="E646" s="414"/>
      <c r="F646" s="414"/>
      <c r="G646" s="413"/>
      <c r="H646" s="413"/>
      <c r="I646" s="413"/>
      <c r="J646" s="413"/>
      <c r="K646" s="413"/>
      <c r="L646" s="413"/>
      <c r="M646" s="413"/>
      <c r="N646" s="413"/>
      <c r="O646" s="413"/>
      <c r="P646" s="413"/>
      <c r="Q646" s="413"/>
      <c r="R646" s="413"/>
      <c r="S646" s="413"/>
      <c r="T646" s="413"/>
      <c r="U646" s="413"/>
      <c r="V646" s="413"/>
      <c r="W646" s="413"/>
      <c r="X646" s="413"/>
      <c r="Y646" s="413"/>
      <c r="Z646" s="413"/>
    </row>
    <row r="647" ht="12.0" customHeight="1">
      <c r="A647" s="413"/>
      <c r="B647" s="413"/>
      <c r="C647" s="414"/>
      <c r="D647" s="414"/>
      <c r="E647" s="414"/>
      <c r="F647" s="414"/>
      <c r="G647" s="413"/>
      <c r="H647" s="413"/>
      <c r="I647" s="413"/>
      <c r="J647" s="413"/>
      <c r="K647" s="413"/>
      <c r="L647" s="413"/>
      <c r="M647" s="413"/>
      <c r="N647" s="413"/>
      <c r="O647" s="413"/>
      <c r="P647" s="413"/>
      <c r="Q647" s="413"/>
      <c r="R647" s="413"/>
      <c r="S647" s="413"/>
      <c r="T647" s="413"/>
      <c r="U647" s="413"/>
      <c r="V647" s="413"/>
      <c r="W647" s="413"/>
      <c r="X647" s="413"/>
      <c r="Y647" s="413"/>
      <c r="Z647" s="413"/>
    </row>
    <row r="648" ht="12.0" customHeight="1">
      <c r="A648" s="413"/>
      <c r="B648" s="413"/>
      <c r="C648" s="414"/>
      <c r="D648" s="414"/>
      <c r="E648" s="414"/>
      <c r="F648" s="414"/>
      <c r="G648" s="413"/>
      <c r="H648" s="413"/>
      <c r="I648" s="413"/>
      <c r="J648" s="413"/>
      <c r="K648" s="413"/>
      <c r="L648" s="413"/>
      <c r="M648" s="413"/>
      <c r="N648" s="413"/>
      <c r="O648" s="413"/>
      <c r="P648" s="413"/>
      <c r="Q648" s="413"/>
      <c r="R648" s="413"/>
      <c r="S648" s="413"/>
      <c r="T648" s="413"/>
      <c r="U648" s="413"/>
      <c r="V648" s="413"/>
      <c r="W648" s="413"/>
      <c r="X648" s="413"/>
      <c r="Y648" s="413"/>
      <c r="Z648" s="413"/>
    </row>
    <row r="649" ht="12.0" customHeight="1">
      <c r="A649" s="413"/>
      <c r="B649" s="413"/>
      <c r="C649" s="414"/>
      <c r="D649" s="414"/>
      <c r="E649" s="414"/>
      <c r="F649" s="414"/>
      <c r="G649" s="413"/>
      <c r="H649" s="413"/>
      <c r="I649" s="413"/>
      <c r="J649" s="413"/>
      <c r="K649" s="413"/>
      <c r="L649" s="413"/>
      <c r="M649" s="413"/>
      <c r="N649" s="413"/>
      <c r="O649" s="413"/>
      <c r="P649" s="413"/>
      <c r="Q649" s="413"/>
      <c r="R649" s="413"/>
      <c r="S649" s="413"/>
      <c r="T649" s="413"/>
      <c r="U649" s="413"/>
      <c r="V649" s="413"/>
      <c r="W649" s="413"/>
      <c r="X649" s="413"/>
      <c r="Y649" s="413"/>
      <c r="Z649" s="413"/>
    </row>
    <row r="650" ht="12.0" customHeight="1">
      <c r="A650" s="413"/>
      <c r="B650" s="413"/>
      <c r="C650" s="414"/>
      <c r="D650" s="414"/>
      <c r="E650" s="414"/>
      <c r="F650" s="414"/>
      <c r="G650" s="413"/>
      <c r="H650" s="413"/>
      <c r="I650" s="413"/>
      <c r="J650" s="413"/>
      <c r="K650" s="413"/>
      <c r="L650" s="413"/>
      <c r="M650" s="413"/>
      <c r="N650" s="413"/>
      <c r="O650" s="413"/>
      <c r="P650" s="413"/>
      <c r="Q650" s="413"/>
      <c r="R650" s="413"/>
      <c r="S650" s="413"/>
      <c r="T650" s="413"/>
      <c r="U650" s="413"/>
      <c r="V650" s="413"/>
      <c r="W650" s="413"/>
      <c r="X650" s="413"/>
      <c r="Y650" s="413"/>
      <c r="Z650" s="413"/>
    </row>
    <row r="651" ht="12.0" customHeight="1">
      <c r="A651" s="413"/>
      <c r="B651" s="413"/>
      <c r="C651" s="414"/>
      <c r="D651" s="414"/>
      <c r="E651" s="414"/>
      <c r="F651" s="414"/>
      <c r="G651" s="413"/>
      <c r="H651" s="413"/>
      <c r="I651" s="413"/>
      <c r="J651" s="413"/>
      <c r="K651" s="413"/>
      <c r="L651" s="413"/>
      <c r="M651" s="413"/>
      <c r="N651" s="413"/>
      <c r="O651" s="413"/>
      <c r="P651" s="413"/>
      <c r="Q651" s="413"/>
      <c r="R651" s="413"/>
      <c r="S651" s="413"/>
      <c r="T651" s="413"/>
      <c r="U651" s="413"/>
      <c r="V651" s="413"/>
      <c r="W651" s="413"/>
      <c r="X651" s="413"/>
      <c r="Y651" s="413"/>
      <c r="Z651" s="413"/>
    </row>
    <row r="652" ht="12.0" customHeight="1">
      <c r="A652" s="413"/>
      <c r="B652" s="413"/>
      <c r="C652" s="414"/>
      <c r="D652" s="414"/>
      <c r="E652" s="414"/>
      <c r="F652" s="414"/>
      <c r="G652" s="413"/>
      <c r="H652" s="413"/>
      <c r="I652" s="413"/>
      <c r="J652" s="413"/>
      <c r="K652" s="413"/>
      <c r="L652" s="413"/>
      <c r="M652" s="413"/>
      <c r="N652" s="413"/>
      <c r="O652" s="413"/>
      <c r="P652" s="413"/>
      <c r="Q652" s="413"/>
      <c r="R652" s="413"/>
      <c r="S652" s="413"/>
      <c r="T652" s="413"/>
      <c r="U652" s="413"/>
      <c r="V652" s="413"/>
      <c r="W652" s="413"/>
      <c r="X652" s="413"/>
      <c r="Y652" s="413"/>
      <c r="Z652" s="413"/>
    </row>
    <row r="653" ht="12.0" customHeight="1">
      <c r="A653" s="413"/>
      <c r="B653" s="413"/>
      <c r="C653" s="414"/>
      <c r="D653" s="414"/>
      <c r="E653" s="414"/>
      <c r="F653" s="414"/>
      <c r="G653" s="413"/>
      <c r="H653" s="413"/>
      <c r="I653" s="413"/>
      <c r="J653" s="413"/>
      <c r="K653" s="413"/>
      <c r="L653" s="413"/>
      <c r="M653" s="413"/>
      <c r="N653" s="413"/>
      <c r="O653" s="413"/>
      <c r="P653" s="413"/>
      <c r="Q653" s="413"/>
      <c r="R653" s="413"/>
      <c r="S653" s="413"/>
      <c r="T653" s="413"/>
      <c r="U653" s="413"/>
      <c r="V653" s="413"/>
      <c r="W653" s="413"/>
      <c r="X653" s="413"/>
      <c r="Y653" s="413"/>
      <c r="Z653" s="413"/>
    </row>
    <row r="654" ht="12.0" customHeight="1">
      <c r="A654" s="413"/>
      <c r="B654" s="413"/>
      <c r="C654" s="414"/>
      <c r="D654" s="414"/>
      <c r="E654" s="414"/>
      <c r="F654" s="414"/>
      <c r="G654" s="413"/>
      <c r="H654" s="413"/>
      <c r="I654" s="413"/>
      <c r="J654" s="413"/>
      <c r="K654" s="413"/>
      <c r="L654" s="413"/>
      <c r="M654" s="413"/>
      <c r="N654" s="413"/>
      <c r="O654" s="413"/>
      <c r="P654" s="413"/>
      <c r="Q654" s="413"/>
      <c r="R654" s="413"/>
      <c r="S654" s="413"/>
      <c r="T654" s="413"/>
      <c r="U654" s="413"/>
      <c r="V654" s="413"/>
      <c r="W654" s="413"/>
      <c r="X654" s="413"/>
      <c r="Y654" s="413"/>
      <c r="Z654" s="413"/>
    </row>
    <row r="655" ht="12.0" customHeight="1">
      <c r="A655" s="413"/>
      <c r="B655" s="413"/>
      <c r="C655" s="414"/>
      <c r="D655" s="414"/>
      <c r="E655" s="414"/>
      <c r="F655" s="414"/>
      <c r="G655" s="413"/>
      <c r="H655" s="413"/>
      <c r="I655" s="413"/>
      <c r="J655" s="413"/>
      <c r="K655" s="413"/>
      <c r="L655" s="413"/>
      <c r="M655" s="413"/>
      <c r="N655" s="413"/>
      <c r="O655" s="413"/>
      <c r="P655" s="413"/>
      <c r="Q655" s="413"/>
      <c r="R655" s="413"/>
      <c r="S655" s="413"/>
      <c r="T655" s="413"/>
      <c r="U655" s="413"/>
      <c r="V655" s="413"/>
      <c r="W655" s="413"/>
      <c r="X655" s="413"/>
      <c r="Y655" s="413"/>
      <c r="Z655" s="413"/>
    </row>
    <row r="656" ht="12.0" customHeight="1">
      <c r="A656" s="413"/>
      <c r="B656" s="413"/>
      <c r="C656" s="414"/>
      <c r="D656" s="414"/>
      <c r="E656" s="414"/>
      <c r="F656" s="414"/>
      <c r="G656" s="413"/>
      <c r="H656" s="413"/>
      <c r="I656" s="413"/>
      <c r="J656" s="413"/>
      <c r="K656" s="413"/>
      <c r="L656" s="413"/>
      <c r="M656" s="413"/>
      <c r="N656" s="413"/>
      <c r="O656" s="413"/>
      <c r="P656" s="413"/>
      <c r="Q656" s="413"/>
      <c r="R656" s="413"/>
      <c r="S656" s="413"/>
      <c r="T656" s="413"/>
      <c r="U656" s="413"/>
      <c r="V656" s="413"/>
      <c r="W656" s="413"/>
      <c r="X656" s="413"/>
      <c r="Y656" s="413"/>
      <c r="Z656" s="413"/>
    </row>
    <row r="657" ht="12.0" customHeight="1">
      <c r="A657" s="413"/>
      <c r="B657" s="413"/>
      <c r="C657" s="414"/>
      <c r="D657" s="414"/>
      <c r="E657" s="414"/>
      <c r="F657" s="414"/>
      <c r="G657" s="413"/>
      <c r="H657" s="413"/>
      <c r="I657" s="413"/>
      <c r="J657" s="413"/>
      <c r="K657" s="413"/>
      <c r="L657" s="413"/>
      <c r="M657" s="413"/>
      <c r="N657" s="413"/>
      <c r="O657" s="413"/>
      <c r="P657" s="413"/>
      <c r="Q657" s="413"/>
      <c r="R657" s="413"/>
      <c r="S657" s="413"/>
      <c r="T657" s="413"/>
      <c r="U657" s="413"/>
      <c r="V657" s="413"/>
      <c r="W657" s="413"/>
      <c r="X657" s="413"/>
      <c r="Y657" s="413"/>
      <c r="Z657" s="413"/>
    </row>
    <row r="658" ht="12.0" customHeight="1">
      <c r="A658" s="413"/>
      <c r="B658" s="413"/>
      <c r="C658" s="414"/>
      <c r="D658" s="414"/>
      <c r="E658" s="414"/>
      <c r="F658" s="414"/>
      <c r="G658" s="413"/>
      <c r="H658" s="413"/>
      <c r="I658" s="413"/>
      <c r="J658" s="413"/>
      <c r="K658" s="413"/>
      <c r="L658" s="413"/>
      <c r="M658" s="413"/>
      <c r="N658" s="413"/>
      <c r="O658" s="413"/>
      <c r="P658" s="413"/>
      <c r="Q658" s="413"/>
      <c r="R658" s="413"/>
      <c r="S658" s="413"/>
      <c r="T658" s="413"/>
      <c r="U658" s="413"/>
      <c r="V658" s="413"/>
      <c r="W658" s="413"/>
      <c r="X658" s="413"/>
      <c r="Y658" s="413"/>
      <c r="Z658" s="413"/>
    </row>
    <row r="659" ht="12.0" customHeight="1">
      <c r="A659" s="413"/>
      <c r="B659" s="413"/>
      <c r="C659" s="414"/>
      <c r="D659" s="414"/>
      <c r="E659" s="414"/>
      <c r="F659" s="414"/>
      <c r="G659" s="413"/>
      <c r="H659" s="413"/>
      <c r="I659" s="413"/>
      <c r="J659" s="413"/>
      <c r="K659" s="413"/>
      <c r="L659" s="413"/>
      <c r="M659" s="413"/>
      <c r="N659" s="413"/>
      <c r="O659" s="413"/>
      <c r="P659" s="413"/>
      <c r="Q659" s="413"/>
      <c r="R659" s="413"/>
      <c r="S659" s="413"/>
      <c r="T659" s="413"/>
      <c r="U659" s="413"/>
      <c r="V659" s="413"/>
      <c r="W659" s="413"/>
      <c r="X659" s="413"/>
      <c r="Y659" s="413"/>
      <c r="Z659" s="413"/>
    </row>
    <row r="660" ht="12.0" customHeight="1">
      <c r="A660" s="413"/>
      <c r="B660" s="413"/>
      <c r="C660" s="414"/>
      <c r="D660" s="414"/>
      <c r="E660" s="414"/>
      <c r="F660" s="414"/>
      <c r="G660" s="413"/>
      <c r="H660" s="413"/>
      <c r="I660" s="413"/>
      <c r="J660" s="413"/>
      <c r="K660" s="413"/>
      <c r="L660" s="413"/>
      <c r="M660" s="413"/>
      <c r="N660" s="413"/>
      <c r="O660" s="413"/>
      <c r="P660" s="413"/>
      <c r="Q660" s="413"/>
      <c r="R660" s="413"/>
      <c r="S660" s="413"/>
      <c r="T660" s="413"/>
      <c r="U660" s="413"/>
      <c r="V660" s="413"/>
      <c r="W660" s="413"/>
      <c r="X660" s="413"/>
      <c r="Y660" s="413"/>
      <c r="Z660" s="413"/>
    </row>
    <row r="661" ht="12.0" customHeight="1">
      <c r="A661" s="413"/>
      <c r="B661" s="413"/>
      <c r="C661" s="414"/>
      <c r="D661" s="414"/>
      <c r="E661" s="414"/>
      <c r="F661" s="414"/>
      <c r="G661" s="413"/>
      <c r="H661" s="413"/>
      <c r="I661" s="413"/>
      <c r="J661" s="413"/>
      <c r="K661" s="413"/>
      <c r="L661" s="413"/>
      <c r="M661" s="413"/>
      <c r="N661" s="413"/>
      <c r="O661" s="413"/>
      <c r="P661" s="413"/>
      <c r="Q661" s="413"/>
      <c r="R661" s="413"/>
      <c r="S661" s="413"/>
      <c r="T661" s="413"/>
      <c r="U661" s="413"/>
      <c r="V661" s="413"/>
      <c r="W661" s="413"/>
      <c r="X661" s="413"/>
      <c r="Y661" s="413"/>
      <c r="Z661" s="413"/>
    </row>
    <row r="662" ht="12.0" customHeight="1">
      <c r="A662" s="413"/>
      <c r="B662" s="413"/>
      <c r="C662" s="414"/>
      <c r="D662" s="414"/>
      <c r="E662" s="414"/>
      <c r="F662" s="414"/>
      <c r="G662" s="413"/>
      <c r="H662" s="413"/>
      <c r="I662" s="413"/>
      <c r="J662" s="413"/>
      <c r="K662" s="413"/>
      <c r="L662" s="413"/>
      <c r="M662" s="413"/>
      <c r="N662" s="413"/>
      <c r="O662" s="413"/>
      <c r="P662" s="413"/>
      <c r="Q662" s="413"/>
      <c r="R662" s="413"/>
      <c r="S662" s="413"/>
      <c r="T662" s="413"/>
      <c r="U662" s="413"/>
      <c r="V662" s="413"/>
      <c r="W662" s="413"/>
      <c r="X662" s="413"/>
      <c r="Y662" s="413"/>
      <c r="Z662" s="413"/>
    </row>
    <row r="663" ht="12.0" customHeight="1">
      <c r="A663" s="413"/>
      <c r="B663" s="413"/>
      <c r="C663" s="414"/>
      <c r="D663" s="414"/>
      <c r="E663" s="414"/>
      <c r="F663" s="414"/>
      <c r="G663" s="413"/>
      <c r="H663" s="413"/>
      <c r="I663" s="413"/>
      <c r="J663" s="413"/>
      <c r="K663" s="413"/>
      <c r="L663" s="413"/>
      <c r="M663" s="413"/>
      <c r="N663" s="413"/>
      <c r="O663" s="413"/>
      <c r="P663" s="413"/>
      <c r="Q663" s="413"/>
      <c r="R663" s="413"/>
      <c r="S663" s="413"/>
      <c r="T663" s="413"/>
      <c r="U663" s="413"/>
      <c r="V663" s="413"/>
      <c r="W663" s="413"/>
      <c r="X663" s="413"/>
      <c r="Y663" s="413"/>
      <c r="Z663" s="413"/>
    </row>
    <row r="664" ht="12.0" customHeight="1">
      <c r="A664" s="413"/>
      <c r="B664" s="413"/>
      <c r="C664" s="414"/>
      <c r="D664" s="414"/>
      <c r="E664" s="414"/>
      <c r="F664" s="414"/>
      <c r="G664" s="413"/>
      <c r="H664" s="413"/>
      <c r="I664" s="413"/>
      <c r="J664" s="413"/>
      <c r="K664" s="413"/>
      <c r="L664" s="413"/>
      <c r="M664" s="413"/>
      <c r="N664" s="413"/>
      <c r="O664" s="413"/>
      <c r="P664" s="413"/>
      <c r="Q664" s="413"/>
      <c r="R664" s="413"/>
      <c r="S664" s="413"/>
      <c r="T664" s="413"/>
      <c r="U664" s="413"/>
      <c r="V664" s="413"/>
      <c r="W664" s="413"/>
      <c r="X664" s="413"/>
      <c r="Y664" s="413"/>
      <c r="Z664" s="413"/>
    </row>
    <row r="665" ht="12.0" customHeight="1">
      <c r="A665" s="413"/>
      <c r="B665" s="413"/>
      <c r="C665" s="414"/>
      <c r="D665" s="414"/>
      <c r="E665" s="414"/>
      <c r="F665" s="414"/>
      <c r="G665" s="413"/>
      <c r="H665" s="413"/>
      <c r="I665" s="413"/>
      <c r="J665" s="413"/>
      <c r="K665" s="413"/>
      <c r="L665" s="413"/>
      <c r="M665" s="413"/>
      <c r="N665" s="413"/>
      <c r="O665" s="413"/>
      <c r="P665" s="413"/>
      <c r="Q665" s="413"/>
      <c r="R665" s="413"/>
      <c r="S665" s="413"/>
      <c r="T665" s="413"/>
      <c r="U665" s="413"/>
      <c r="V665" s="413"/>
      <c r="W665" s="413"/>
      <c r="X665" s="413"/>
      <c r="Y665" s="413"/>
      <c r="Z665" s="413"/>
    </row>
    <row r="666" ht="12.0" customHeight="1">
      <c r="A666" s="413"/>
      <c r="B666" s="413"/>
      <c r="C666" s="414"/>
      <c r="D666" s="414"/>
      <c r="E666" s="414"/>
      <c r="F666" s="414"/>
      <c r="G666" s="413"/>
      <c r="H666" s="413"/>
      <c r="I666" s="413"/>
      <c r="J666" s="413"/>
      <c r="K666" s="413"/>
      <c r="L666" s="413"/>
      <c r="M666" s="413"/>
      <c r="N666" s="413"/>
      <c r="O666" s="413"/>
      <c r="P666" s="413"/>
      <c r="Q666" s="413"/>
      <c r="R666" s="413"/>
      <c r="S666" s="413"/>
      <c r="T666" s="413"/>
      <c r="U666" s="413"/>
      <c r="V666" s="413"/>
      <c r="W666" s="413"/>
      <c r="X666" s="413"/>
      <c r="Y666" s="413"/>
      <c r="Z666" s="413"/>
    </row>
    <row r="667" ht="12.0" customHeight="1">
      <c r="A667" s="413"/>
      <c r="B667" s="413"/>
      <c r="C667" s="414"/>
      <c r="D667" s="414"/>
      <c r="E667" s="414"/>
      <c r="F667" s="414"/>
      <c r="G667" s="413"/>
      <c r="H667" s="413"/>
      <c r="I667" s="413"/>
      <c r="J667" s="413"/>
      <c r="K667" s="413"/>
      <c r="L667" s="413"/>
      <c r="M667" s="413"/>
      <c r="N667" s="413"/>
      <c r="O667" s="413"/>
      <c r="P667" s="413"/>
      <c r="Q667" s="413"/>
      <c r="R667" s="413"/>
      <c r="S667" s="413"/>
      <c r="T667" s="413"/>
      <c r="U667" s="413"/>
      <c r="V667" s="413"/>
      <c r="W667" s="413"/>
      <c r="X667" s="413"/>
      <c r="Y667" s="413"/>
      <c r="Z667" s="413"/>
    </row>
    <row r="668" ht="12.0" customHeight="1">
      <c r="A668" s="413"/>
      <c r="B668" s="413"/>
      <c r="C668" s="414"/>
      <c r="D668" s="414"/>
      <c r="E668" s="414"/>
      <c r="F668" s="414"/>
      <c r="G668" s="413"/>
      <c r="H668" s="413"/>
      <c r="I668" s="413"/>
      <c r="J668" s="413"/>
      <c r="K668" s="413"/>
      <c r="L668" s="413"/>
      <c r="M668" s="413"/>
      <c r="N668" s="413"/>
      <c r="O668" s="413"/>
      <c r="P668" s="413"/>
      <c r="Q668" s="413"/>
      <c r="R668" s="413"/>
      <c r="S668" s="413"/>
      <c r="T668" s="413"/>
      <c r="U668" s="413"/>
      <c r="V668" s="413"/>
      <c r="W668" s="413"/>
      <c r="X668" s="413"/>
      <c r="Y668" s="413"/>
      <c r="Z668" s="413"/>
    </row>
    <row r="669" ht="12.0" customHeight="1">
      <c r="A669" s="413"/>
      <c r="B669" s="413"/>
      <c r="C669" s="414"/>
      <c r="D669" s="414"/>
      <c r="E669" s="414"/>
      <c r="F669" s="414"/>
      <c r="G669" s="413"/>
      <c r="H669" s="413"/>
      <c r="I669" s="413"/>
      <c r="J669" s="413"/>
      <c r="K669" s="413"/>
      <c r="L669" s="413"/>
      <c r="M669" s="413"/>
      <c r="N669" s="413"/>
      <c r="O669" s="413"/>
      <c r="P669" s="413"/>
      <c r="Q669" s="413"/>
      <c r="R669" s="413"/>
      <c r="S669" s="413"/>
      <c r="T669" s="413"/>
      <c r="U669" s="413"/>
      <c r="V669" s="413"/>
      <c r="W669" s="413"/>
      <c r="X669" s="413"/>
      <c r="Y669" s="413"/>
      <c r="Z669" s="413"/>
    </row>
    <row r="670" ht="12.0" customHeight="1">
      <c r="A670" s="413"/>
      <c r="B670" s="413"/>
      <c r="C670" s="414"/>
      <c r="D670" s="414"/>
      <c r="E670" s="414"/>
      <c r="F670" s="414"/>
      <c r="G670" s="413"/>
      <c r="H670" s="413"/>
      <c r="I670" s="413"/>
      <c r="J670" s="413"/>
      <c r="K670" s="413"/>
      <c r="L670" s="413"/>
      <c r="M670" s="413"/>
      <c r="N670" s="413"/>
      <c r="O670" s="413"/>
      <c r="P670" s="413"/>
      <c r="Q670" s="413"/>
      <c r="R670" s="413"/>
      <c r="S670" s="413"/>
      <c r="T670" s="413"/>
      <c r="U670" s="413"/>
      <c r="V670" s="413"/>
      <c r="W670" s="413"/>
      <c r="X670" s="413"/>
      <c r="Y670" s="413"/>
      <c r="Z670" s="413"/>
    </row>
    <row r="671" ht="12.0" customHeight="1">
      <c r="A671" s="413"/>
      <c r="B671" s="413"/>
      <c r="C671" s="414"/>
      <c r="D671" s="414"/>
      <c r="E671" s="414"/>
      <c r="F671" s="414"/>
      <c r="G671" s="413"/>
      <c r="H671" s="413"/>
      <c r="I671" s="413"/>
      <c r="J671" s="413"/>
      <c r="K671" s="413"/>
      <c r="L671" s="413"/>
      <c r="M671" s="413"/>
      <c r="N671" s="413"/>
      <c r="O671" s="413"/>
      <c r="P671" s="413"/>
      <c r="Q671" s="413"/>
      <c r="R671" s="413"/>
      <c r="S671" s="413"/>
      <c r="T671" s="413"/>
      <c r="U671" s="413"/>
      <c r="V671" s="413"/>
      <c r="W671" s="413"/>
      <c r="X671" s="413"/>
      <c r="Y671" s="413"/>
      <c r="Z671" s="413"/>
    </row>
    <row r="672" ht="12.0" customHeight="1">
      <c r="A672" s="413"/>
      <c r="B672" s="413"/>
      <c r="C672" s="414"/>
      <c r="D672" s="414"/>
      <c r="E672" s="414"/>
      <c r="F672" s="414"/>
      <c r="G672" s="413"/>
      <c r="H672" s="413"/>
      <c r="I672" s="413"/>
      <c r="J672" s="413"/>
      <c r="K672" s="413"/>
      <c r="L672" s="413"/>
      <c r="M672" s="413"/>
      <c r="N672" s="413"/>
      <c r="O672" s="413"/>
      <c r="P672" s="413"/>
      <c r="Q672" s="413"/>
      <c r="R672" s="413"/>
      <c r="S672" s="413"/>
      <c r="T672" s="413"/>
      <c r="U672" s="413"/>
      <c r="V672" s="413"/>
      <c r="W672" s="413"/>
      <c r="X672" s="413"/>
      <c r="Y672" s="413"/>
      <c r="Z672" s="413"/>
    </row>
    <row r="673" ht="12.0" customHeight="1">
      <c r="A673" s="413"/>
      <c r="B673" s="413"/>
      <c r="C673" s="414"/>
      <c r="D673" s="414"/>
      <c r="E673" s="414"/>
      <c r="F673" s="414"/>
      <c r="G673" s="413"/>
      <c r="H673" s="413"/>
      <c r="I673" s="413"/>
      <c r="J673" s="413"/>
      <c r="K673" s="413"/>
      <c r="L673" s="413"/>
      <c r="M673" s="413"/>
      <c r="N673" s="413"/>
      <c r="O673" s="413"/>
      <c r="P673" s="413"/>
      <c r="Q673" s="413"/>
      <c r="R673" s="413"/>
      <c r="S673" s="413"/>
      <c r="T673" s="413"/>
      <c r="U673" s="413"/>
      <c r="V673" s="413"/>
      <c r="W673" s="413"/>
      <c r="X673" s="413"/>
      <c r="Y673" s="413"/>
      <c r="Z673" s="413"/>
    </row>
    <row r="674" ht="12.0" customHeight="1">
      <c r="A674" s="413"/>
      <c r="B674" s="413"/>
      <c r="C674" s="414"/>
      <c r="D674" s="414"/>
      <c r="E674" s="414"/>
      <c r="F674" s="414"/>
      <c r="G674" s="413"/>
      <c r="H674" s="413"/>
      <c r="I674" s="413"/>
      <c r="J674" s="413"/>
      <c r="K674" s="413"/>
      <c r="L674" s="413"/>
      <c r="M674" s="413"/>
      <c r="N674" s="413"/>
      <c r="O674" s="413"/>
      <c r="P674" s="413"/>
      <c r="Q674" s="413"/>
      <c r="R674" s="413"/>
      <c r="S674" s="413"/>
      <c r="T674" s="413"/>
      <c r="U674" s="413"/>
      <c r="V674" s="413"/>
      <c r="W674" s="413"/>
      <c r="X674" s="413"/>
      <c r="Y674" s="413"/>
      <c r="Z674" s="413"/>
    </row>
    <row r="675" ht="12.0" customHeight="1">
      <c r="A675" s="413"/>
      <c r="B675" s="413"/>
      <c r="C675" s="414"/>
      <c r="D675" s="414"/>
      <c r="E675" s="414"/>
      <c r="F675" s="414"/>
      <c r="G675" s="413"/>
      <c r="H675" s="413"/>
      <c r="I675" s="413"/>
      <c r="J675" s="413"/>
      <c r="K675" s="413"/>
      <c r="L675" s="413"/>
      <c r="M675" s="413"/>
      <c r="N675" s="413"/>
      <c r="O675" s="413"/>
      <c r="P675" s="413"/>
      <c r="Q675" s="413"/>
      <c r="R675" s="413"/>
      <c r="S675" s="413"/>
      <c r="T675" s="413"/>
      <c r="U675" s="413"/>
      <c r="V675" s="413"/>
      <c r="W675" s="413"/>
      <c r="X675" s="413"/>
      <c r="Y675" s="413"/>
      <c r="Z675" s="413"/>
    </row>
    <row r="676" ht="12.0" customHeight="1">
      <c r="A676" s="413"/>
      <c r="B676" s="413"/>
      <c r="C676" s="414"/>
      <c r="D676" s="414"/>
      <c r="E676" s="414"/>
      <c r="F676" s="414"/>
      <c r="G676" s="413"/>
      <c r="H676" s="413"/>
      <c r="I676" s="413"/>
      <c r="J676" s="413"/>
      <c r="K676" s="413"/>
      <c r="L676" s="413"/>
      <c r="M676" s="413"/>
      <c r="N676" s="413"/>
      <c r="O676" s="413"/>
      <c r="P676" s="413"/>
      <c r="Q676" s="413"/>
      <c r="R676" s="413"/>
      <c r="S676" s="413"/>
      <c r="T676" s="413"/>
      <c r="U676" s="413"/>
      <c r="V676" s="413"/>
      <c r="W676" s="413"/>
      <c r="X676" s="413"/>
      <c r="Y676" s="413"/>
      <c r="Z676" s="413"/>
    </row>
    <row r="677" ht="12.0" customHeight="1">
      <c r="A677" s="413"/>
      <c r="B677" s="413"/>
      <c r="C677" s="414"/>
      <c r="D677" s="414"/>
      <c r="E677" s="414"/>
      <c r="F677" s="414"/>
      <c r="G677" s="413"/>
      <c r="H677" s="413"/>
      <c r="I677" s="413"/>
      <c r="J677" s="413"/>
      <c r="K677" s="413"/>
      <c r="L677" s="413"/>
      <c r="M677" s="413"/>
      <c r="N677" s="413"/>
      <c r="O677" s="413"/>
      <c r="P677" s="413"/>
      <c r="Q677" s="413"/>
      <c r="R677" s="413"/>
      <c r="S677" s="413"/>
      <c r="T677" s="413"/>
      <c r="U677" s="413"/>
      <c r="V677" s="413"/>
      <c r="W677" s="413"/>
      <c r="X677" s="413"/>
      <c r="Y677" s="413"/>
      <c r="Z677" s="413"/>
    </row>
    <row r="678" ht="12.0" customHeight="1">
      <c r="A678" s="413"/>
      <c r="B678" s="413"/>
      <c r="C678" s="414"/>
      <c r="D678" s="414"/>
      <c r="E678" s="414"/>
      <c r="F678" s="414"/>
      <c r="G678" s="413"/>
      <c r="H678" s="413"/>
      <c r="I678" s="413"/>
      <c r="J678" s="413"/>
      <c r="K678" s="413"/>
      <c r="L678" s="413"/>
      <c r="M678" s="413"/>
      <c r="N678" s="413"/>
      <c r="O678" s="413"/>
      <c r="P678" s="413"/>
      <c r="Q678" s="413"/>
      <c r="R678" s="413"/>
      <c r="S678" s="413"/>
      <c r="T678" s="413"/>
      <c r="U678" s="413"/>
      <c r="V678" s="413"/>
      <c r="W678" s="413"/>
      <c r="X678" s="413"/>
      <c r="Y678" s="413"/>
      <c r="Z678" s="413"/>
    </row>
    <row r="679" ht="12.0" customHeight="1">
      <c r="A679" s="413"/>
      <c r="B679" s="413"/>
      <c r="C679" s="414"/>
      <c r="D679" s="414"/>
      <c r="E679" s="414"/>
      <c r="F679" s="414"/>
      <c r="G679" s="413"/>
      <c r="H679" s="413"/>
      <c r="I679" s="413"/>
      <c r="J679" s="413"/>
      <c r="K679" s="413"/>
      <c r="L679" s="413"/>
      <c r="M679" s="413"/>
      <c r="N679" s="413"/>
      <c r="O679" s="413"/>
      <c r="P679" s="413"/>
      <c r="Q679" s="413"/>
      <c r="R679" s="413"/>
      <c r="S679" s="413"/>
      <c r="T679" s="413"/>
      <c r="U679" s="413"/>
      <c r="V679" s="413"/>
      <c r="W679" s="413"/>
      <c r="X679" s="413"/>
      <c r="Y679" s="413"/>
      <c r="Z679" s="413"/>
    </row>
    <row r="680" ht="12.0" customHeight="1">
      <c r="A680" s="413"/>
      <c r="B680" s="413"/>
      <c r="C680" s="414"/>
      <c r="D680" s="414"/>
      <c r="E680" s="414"/>
      <c r="F680" s="414"/>
      <c r="G680" s="413"/>
      <c r="H680" s="413"/>
      <c r="I680" s="413"/>
      <c r="J680" s="413"/>
      <c r="K680" s="413"/>
      <c r="L680" s="413"/>
      <c r="M680" s="413"/>
      <c r="N680" s="413"/>
      <c r="O680" s="413"/>
      <c r="P680" s="413"/>
      <c r="Q680" s="413"/>
      <c r="R680" s="413"/>
      <c r="S680" s="413"/>
      <c r="T680" s="413"/>
      <c r="U680" s="413"/>
      <c r="V680" s="413"/>
      <c r="W680" s="413"/>
      <c r="X680" s="413"/>
      <c r="Y680" s="413"/>
      <c r="Z680" s="413"/>
    </row>
    <row r="681" ht="12.0" customHeight="1">
      <c r="A681" s="413"/>
      <c r="B681" s="413"/>
      <c r="C681" s="414"/>
      <c r="D681" s="414"/>
      <c r="E681" s="414"/>
      <c r="F681" s="414"/>
      <c r="G681" s="413"/>
      <c r="H681" s="413"/>
      <c r="I681" s="413"/>
      <c r="J681" s="413"/>
      <c r="K681" s="413"/>
      <c r="L681" s="413"/>
      <c r="M681" s="413"/>
      <c r="N681" s="413"/>
      <c r="O681" s="413"/>
      <c r="P681" s="413"/>
      <c r="Q681" s="413"/>
      <c r="R681" s="413"/>
      <c r="S681" s="413"/>
      <c r="T681" s="413"/>
      <c r="U681" s="413"/>
      <c r="V681" s="413"/>
      <c r="W681" s="413"/>
      <c r="X681" s="413"/>
      <c r="Y681" s="413"/>
      <c r="Z681" s="413"/>
    </row>
    <row r="682" ht="12.0" customHeight="1">
      <c r="A682" s="413"/>
      <c r="B682" s="413"/>
      <c r="C682" s="414"/>
      <c r="D682" s="414"/>
      <c r="E682" s="414"/>
      <c r="F682" s="414"/>
      <c r="G682" s="413"/>
      <c r="H682" s="413"/>
      <c r="I682" s="413"/>
      <c r="J682" s="413"/>
      <c r="K682" s="413"/>
      <c r="L682" s="413"/>
      <c r="M682" s="413"/>
      <c r="N682" s="413"/>
      <c r="O682" s="413"/>
      <c r="P682" s="413"/>
      <c r="Q682" s="413"/>
      <c r="R682" s="413"/>
      <c r="S682" s="413"/>
      <c r="T682" s="413"/>
      <c r="U682" s="413"/>
      <c r="V682" s="413"/>
      <c r="W682" s="413"/>
      <c r="X682" s="413"/>
      <c r="Y682" s="413"/>
      <c r="Z682" s="413"/>
    </row>
    <row r="683" ht="12.0" customHeight="1">
      <c r="A683" s="413"/>
      <c r="B683" s="413"/>
      <c r="C683" s="414"/>
      <c r="D683" s="414"/>
      <c r="E683" s="414"/>
      <c r="F683" s="414"/>
      <c r="G683" s="413"/>
      <c r="H683" s="413"/>
      <c r="I683" s="413"/>
      <c r="J683" s="413"/>
      <c r="K683" s="413"/>
      <c r="L683" s="413"/>
      <c r="M683" s="413"/>
      <c r="N683" s="413"/>
      <c r="O683" s="413"/>
      <c r="P683" s="413"/>
      <c r="Q683" s="413"/>
      <c r="R683" s="413"/>
      <c r="S683" s="413"/>
      <c r="T683" s="413"/>
      <c r="U683" s="413"/>
      <c r="V683" s="413"/>
      <c r="W683" s="413"/>
      <c r="X683" s="413"/>
      <c r="Y683" s="413"/>
      <c r="Z683" s="413"/>
    </row>
    <row r="684" ht="12.0" customHeight="1">
      <c r="A684" s="413"/>
      <c r="B684" s="413"/>
      <c r="C684" s="414"/>
      <c r="D684" s="414"/>
      <c r="E684" s="414"/>
      <c r="F684" s="414"/>
      <c r="G684" s="413"/>
      <c r="H684" s="413"/>
      <c r="I684" s="413"/>
      <c r="J684" s="413"/>
      <c r="K684" s="413"/>
      <c r="L684" s="413"/>
      <c r="M684" s="413"/>
      <c r="N684" s="413"/>
      <c r="O684" s="413"/>
      <c r="P684" s="413"/>
      <c r="Q684" s="413"/>
      <c r="R684" s="413"/>
      <c r="S684" s="413"/>
      <c r="T684" s="413"/>
      <c r="U684" s="413"/>
      <c r="V684" s="413"/>
      <c r="W684" s="413"/>
      <c r="X684" s="413"/>
      <c r="Y684" s="413"/>
      <c r="Z684" s="413"/>
    </row>
    <row r="685" ht="12.0" customHeight="1">
      <c r="A685" s="413"/>
      <c r="B685" s="413"/>
      <c r="C685" s="414"/>
      <c r="D685" s="414"/>
      <c r="E685" s="414"/>
      <c r="F685" s="414"/>
      <c r="G685" s="413"/>
      <c r="H685" s="413"/>
      <c r="I685" s="413"/>
      <c r="J685" s="413"/>
      <c r="K685" s="413"/>
      <c r="L685" s="413"/>
      <c r="M685" s="413"/>
      <c r="N685" s="413"/>
      <c r="O685" s="413"/>
      <c r="P685" s="413"/>
      <c r="Q685" s="413"/>
      <c r="R685" s="413"/>
      <c r="S685" s="413"/>
      <c r="T685" s="413"/>
      <c r="U685" s="413"/>
      <c r="V685" s="413"/>
      <c r="W685" s="413"/>
      <c r="X685" s="413"/>
      <c r="Y685" s="413"/>
      <c r="Z685" s="413"/>
    </row>
    <row r="686" ht="12.0" customHeight="1">
      <c r="A686" s="413"/>
      <c r="B686" s="413"/>
      <c r="C686" s="414"/>
      <c r="D686" s="414"/>
      <c r="E686" s="414"/>
      <c r="F686" s="414"/>
      <c r="G686" s="413"/>
      <c r="H686" s="413"/>
      <c r="I686" s="413"/>
      <c r="J686" s="413"/>
      <c r="K686" s="413"/>
      <c r="L686" s="413"/>
      <c r="M686" s="413"/>
      <c r="N686" s="413"/>
      <c r="O686" s="413"/>
      <c r="P686" s="413"/>
      <c r="Q686" s="413"/>
      <c r="R686" s="413"/>
      <c r="S686" s="413"/>
      <c r="T686" s="413"/>
      <c r="U686" s="413"/>
      <c r="V686" s="413"/>
      <c r="W686" s="413"/>
      <c r="X686" s="413"/>
      <c r="Y686" s="413"/>
      <c r="Z686" s="413"/>
    </row>
    <row r="687" ht="12.0" customHeight="1">
      <c r="A687" s="413"/>
      <c r="B687" s="413"/>
      <c r="C687" s="414"/>
      <c r="D687" s="414"/>
      <c r="E687" s="414"/>
      <c r="F687" s="414"/>
      <c r="G687" s="413"/>
      <c r="H687" s="413"/>
      <c r="I687" s="413"/>
      <c r="J687" s="413"/>
      <c r="K687" s="413"/>
      <c r="L687" s="413"/>
      <c r="M687" s="413"/>
      <c r="N687" s="413"/>
      <c r="O687" s="413"/>
      <c r="P687" s="413"/>
      <c r="Q687" s="413"/>
      <c r="R687" s="413"/>
      <c r="S687" s="413"/>
      <c r="T687" s="413"/>
      <c r="U687" s="413"/>
      <c r="V687" s="413"/>
      <c r="W687" s="413"/>
      <c r="X687" s="413"/>
      <c r="Y687" s="413"/>
      <c r="Z687" s="413"/>
    </row>
    <row r="688" ht="12.0" customHeight="1">
      <c r="A688" s="413"/>
      <c r="B688" s="413"/>
      <c r="C688" s="414"/>
      <c r="D688" s="414"/>
      <c r="E688" s="414"/>
      <c r="F688" s="414"/>
      <c r="G688" s="413"/>
      <c r="H688" s="413"/>
      <c r="I688" s="413"/>
      <c r="J688" s="413"/>
      <c r="K688" s="413"/>
      <c r="L688" s="413"/>
      <c r="M688" s="413"/>
      <c r="N688" s="413"/>
      <c r="O688" s="413"/>
      <c r="P688" s="413"/>
      <c r="Q688" s="413"/>
      <c r="R688" s="413"/>
      <c r="S688" s="413"/>
      <c r="T688" s="413"/>
      <c r="U688" s="413"/>
      <c r="V688" s="413"/>
      <c r="W688" s="413"/>
      <c r="X688" s="413"/>
      <c r="Y688" s="413"/>
      <c r="Z688" s="413"/>
    </row>
    <row r="689" ht="12.0" customHeight="1">
      <c r="A689" s="413"/>
      <c r="B689" s="413"/>
      <c r="C689" s="414"/>
      <c r="D689" s="414"/>
      <c r="E689" s="414"/>
      <c r="F689" s="414"/>
      <c r="G689" s="413"/>
      <c r="H689" s="413"/>
      <c r="I689" s="413"/>
      <c r="J689" s="413"/>
      <c r="K689" s="413"/>
      <c r="L689" s="413"/>
      <c r="M689" s="413"/>
      <c r="N689" s="413"/>
      <c r="O689" s="413"/>
      <c r="P689" s="413"/>
      <c r="Q689" s="413"/>
      <c r="R689" s="413"/>
      <c r="S689" s="413"/>
      <c r="T689" s="413"/>
      <c r="U689" s="413"/>
      <c r="V689" s="413"/>
      <c r="W689" s="413"/>
      <c r="X689" s="413"/>
      <c r="Y689" s="413"/>
      <c r="Z689" s="413"/>
    </row>
    <row r="690" ht="12.0" customHeight="1">
      <c r="A690" s="413"/>
      <c r="B690" s="413"/>
      <c r="C690" s="414"/>
      <c r="D690" s="414"/>
      <c r="E690" s="414"/>
      <c r="F690" s="414"/>
      <c r="G690" s="413"/>
      <c r="H690" s="413"/>
      <c r="I690" s="413"/>
      <c r="J690" s="413"/>
      <c r="K690" s="413"/>
      <c r="L690" s="413"/>
      <c r="M690" s="413"/>
      <c r="N690" s="413"/>
      <c r="O690" s="413"/>
      <c r="P690" s="413"/>
      <c r="Q690" s="413"/>
      <c r="R690" s="413"/>
      <c r="S690" s="413"/>
      <c r="T690" s="413"/>
      <c r="U690" s="413"/>
      <c r="V690" s="413"/>
      <c r="W690" s="413"/>
      <c r="X690" s="413"/>
      <c r="Y690" s="413"/>
      <c r="Z690" s="413"/>
    </row>
    <row r="691" ht="12.0" customHeight="1">
      <c r="A691" s="413"/>
      <c r="B691" s="413"/>
      <c r="C691" s="414"/>
      <c r="D691" s="414"/>
      <c r="E691" s="414"/>
      <c r="F691" s="414"/>
      <c r="G691" s="413"/>
      <c r="H691" s="413"/>
      <c r="I691" s="413"/>
      <c r="J691" s="413"/>
      <c r="K691" s="413"/>
      <c r="L691" s="413"/>
      <c r="M691" s="413"/>
      <c r="N691" s="413"/>
      <c r="O691" s="413"/>
      <c r="P691" s="413"/>
      <c r="Q691" s="413"/>
      <c r="R691" s="413"/>
      <c r="S691" s="413"/>
      <c r="T691" s="413"/>
      <c r="U691" s="413"/>
      <c r="V691" s="413"/>
      <c r="W691" s="413"/>
      <c r="X691" s="413"/>
      <c r="Y691" s="413"/>
      <c r="Z691" s="413"/>
    </row>
    <row r="692" ht="12.0" customHeight="1">
      <c r="A692" s="413"/>
      <c r="B692" s="413"/>
      <c r="C692" s="414"/>
      <c r="D692" s="414"/>
      <c r="E692" s="414"/>
      <c r="F692" s="414"/>
      <c r="G692" s="413"/>
      <c r="H692" s="413"/>
      <c r="I692" s="413"/>
      <c r="J692" s="413"/>
      <c r="K692" s="413"/>
      <c r="L692" s="413"/>
      <c r="M692" s="413"/>
      <c r="N692" s="413"/>
      <c r="O692" s="413"/>
      <c r="P692" s="413"/>
      <c r="Q692" s="413"/>
      <c r="R692" s="413"/>
      <c r="S692" s="413"/>
      <c r="T692" s="413"/>
      <c r="U692" s="413"/>
      <c r="V692" s="413"/>
      <c r="W692" s="413"/>
      <c r="X692" s="413"/>
      <c r="Y692" s="413"/>
      <c r="Z692" s="413"/>
    </row>
    <row r="693" ht="12.0" customHeight="1">
      <c r="A693" s="413"/>
      <c r="B693" s="413"/>
      <c r="C693" s="414"/>
      <c r="D693" s="414"/>
      <c r="E693" s="414"/>
      <c r="F693" s="414"/>
      <c r="G693" s="413"/>
      <c r="H693" s="413"/>
      <c r="I693" s="413"/>
      <c r="J693" s="413"/>
      <c r="K693" s="413"/>
      <c r="L693" s="413"/>
      <c r="M693" s="413"/>
      <c r="N693" s="413"/>
      <c r="O693" s="413"/>
      <c r="P693" s="413"/>
      <c r="Q693" s="413"/>
      <c r="R693" s="413"/>
      <c r="S693" s="413"/>
      <c r="T693" s="413"/>
      <c r="U693" s="413"/>
      <c r="V693" s="413"/>
      <c r="W693" s="413"/>
      <c r="X693" s="413"/>
      <c r="Y693" s="413"/>
      <c r="Z693" s="413"/>
    </row>
    <row r="694" ht="12.0" customHeight="1">
      <c r="A694" s="413"/>
      <c r="B694" s="413"/>
      <c r="C694" s="414"/>
      <c r="D694" s="414"/>
      <c r="E694" s="414"/>
      <c r="F694" s="414"/>
      <c r="G694" s="413"/>
      <c r="H694" s="413"/>
      <c r="I694" s="413"/>
      <c r="J694" s="413"/>
      <c r="K694" s="413"/>
      <c r="L694" s="413"/>
      <c r="M694" s="413"/>
      <c r="N694" s="413"/>
      <c r="O694" s="413"/>
      <c r="P694" s="413"/>
      <c r="Q694" s="413"/>
      <c r="R694" s="413"/>
      <c r="S694" s="413"/>
      <c r="T694" s="413"/>
      <c r="U694" s="413"/>
      <c r="V694" s="413"/>
      <c r="W694" s="413"/>
      <c r="X694" s="413"/>
      <c r="Y694" s="413"/>
      <c r="Z694" s="413"/>
    </row>
    <row r="695" ht="12.0" customHeight="1">
      <c r="A695" s="413"/>
      <c r="B695" s="413"/>
      <c r="C695" s="414"/>
      <c r="D695" s="414"/>
      <c r="E695" s="414"/>
      <c r="F695" s="414"/>
      <c r="G695" s="413"/>
      <c r="H695" s="413"/>
      <c r="I695" s="413"/>
      <c r="J695" s="413"/>
      <c r="K695" s="413"/>
      <c r="L695" s="413"/>
      <c r="M695" s="413"/>
      <c r="N695" s="413"/>
      <c r="O695" s="413"/>
      <c r="P695" s="413"/>
      <c r="Q695" s="413"/>
      <c r="R695" s="413"/>
      <c r="S695" s="413"/>
      <c r="T695" s="413"/>
      <c r="U695" s="413"/>
      <c r="V695" s="413"/>
      <c r="W695" s="413"/>
      <c r="X695" s="413"/>
      <c r="Y695" s="413"/>
      <c r="Z695" s="413"/>
    </row>
    <row r="696" ht="12.0" customHeight="1">
      <c r="A696" s="413"/>
      <c r="B696" s="413"/>
      <c r="C696" s="414"/>
      <c r="D696" s="414"/>
      <c r="E696" s="414"/>
      <c r="F696" s="414"/>
      <c r="G696" s="413"/>
      <c r="H696" s="413"/>
      <c r="I696" s="413"/>
      <c r="J696" s="413"/>
      <c r="K696" s="413"/>
      <c r="L696" s="413"/>
      <c r="M696" s="413"/>
      <c r="N696" s="413"/>
      <c r="O696" s="413"/>
      <c r="P696" s="413"/>
      <c r="Q696" s="413"/>
      <c r="R696" s="413"/>
      <c r="S696" s="413"/>
      <c r="T696" s="413"/>
      <c r="U696" s="413"/>
      <c r="V696" s="413"/>
      <c r="W696" s="413"/>
      <c r="X696" s="413"/>
      <c r="Y696" s="413"/>
      <c r="Z696" s="413"/>
    </row>
    <row r="697" ht="12.0" customHeight="1">
      <c r="A697" s="413"/>
      <c r="B697" s="413"/>
      <c r="C697" s="414"/>
      <c r="D697" s="414"/>
      <c r="E697" s="414"/>
      <c r="F697" s="414"/>
      <c r="G697" s="413"/>
      <c r="H697" s="413"/>
      <c r="I697" s="413"/>
      <c r="J697" s="413"/>
      <c r="K697" s="413"/>
      <c r="L697" s="413"/>
      <c r="M697" s="413"/>
      <c r="N697" s="413"/>
      <c r="O697" s="413"/>
      <c r="P697" s="413"/>
      <c r="Q697" s="413"/>
      <c r="R697" s="413"/>
      <c r="S697" s="413"/>
      <c r="T697" s="413"/>
      <c r="U697" s="413"/>
      <c r="V697" s="413"/>
      <c r="W697" s="413"/>
      <c r="X697" s="413"/>
      <c r="Y697" s="413"/>
      <c r="Z697" s="413"/>
    </row>
    <row r="698" ht="12.0" customHeight="1">
      <c r="A698" s="413"/>
      <c r="B698" s="413"/>
      <c r="C698" s="414"/>
      <c r="D698" s="414"/>
      <c r="E698" s="414"/>
      <c r="F698" s="414"/>
      <c r="G698" s="413"/>
      <c r="H698" s="413"/>
      <c r="I698" s="413"/>
      <c r="J698" s="413"/>
      <c r="K698" s="413"/>
      <c r="L698" s="413"/>
      <c r="M698" s="413"/>
      <c r="N698" s="413"/>
      <c r="O698" s="413"/>
      <c r="P698" s="413"/>
      <c r="Q698" s="413"/>
      <c r="R698" s="413"/>
      <c r="S698" s="413"/>
      <c r="T698" s="413"/>
      <c r="U698" s="413"/>
      <c r="V698" s="413"/>
      <c r="W698" s="413"/>
      <c r="X698" s="413"/>
      <c r="Y698" s="413"/>
      <c r="Z698" s="413"/>
    </row>
    <row r="699" ht="12.0" customHeight="1">
      <c r="A699" s="413"/>
      <c r="B699" s="413"/>
      <c r="C699" s="414"/>
      <c r="D699" s="414"/>
      <c r="E699" s="414"/>
      <c r="F699" s="414"/>
      <c r="G699" s="413"/>
      <c r="H699" s="413"/>
      <c r="I699" s="413"/>
      <c r="J699" s="413"/>
      <c r="K699" s="413"/>
      <c r="L699" s="413"/>
      <c r="M699" s="413"/>
      <c r="N699" s="413"/>
      <c r="O699" s="413"/>
      <c r="P699" s="413"/>
      <c r="Q699" s="413"/>
      <c r="R699" s="413"/>
      <c r="S699" s="413"/>
      <c r="T699" s="413"/>
      <c r="U699" s="413"/>
      <c r="V699" s="413"/>
      <c r="W699" s="413"/>
      <c r="X699" s="413"/>
      <c r="Y699" s="413"/>
      <c r="Z699" s="413"/>
    </row>
    <row r="700" ht="12.0" customHeight="1">
      <c r="A700" s="413"/>
      <c r="B700" s="413"/>
      <c r="C700" s="414"/>
      <c r="D700" s="414"/>
      <c r="E700" s="414"/>
      <c r="F700" s="414"/>
      <c r="G700" s="413"/>
      <c r="H700" s="413"/>
      <c r="I700" s="413"/>
      <c r="J700" s="413"/>
      <c r="K700" s="413"/>
      <c r="L700" s="413"/>
      <c r="M700" s="413"/>
      <c r="N700" s="413"/>
      <c r="O700" s="413"/>
      <c r="P700" s="413"/>
      <c r="Q700" s="413"/>
      <c r="R700" s="413"/>
      <c r="S700" s="413"/>
      <c r="T700" s="413"/>
      <c r="U700" s="413"/>
      <c r="V700" s="413"/>
      <c r="W700" s="413"/>
      <c r="X700" s="413"/>
      <c r="Y700" s="413"/>
      <c r="Z700" s="413"/>
    </row>
    <row r="701" ht="12.0" customHeight="1">
      <c r="A701" s="413"/>
      <c r="B701" s="413"/>
      <c r="C701" s="414"/>
      <c r="D701" s="414"/>
      <c r="E701" s="414"/>
      <c r="F701" s="414"/>
      <c r="G701" s="413"/>
      <c r="H701" s="413"/>
      <c r="I701" s="413"/>
      <c r="J701" s="413"/>
      <c r="K701" s="413"/>
      <c r="L701" s="413"/>
      <c r="M701" s="413"/>
      <c r="N701" s="413"/>
      <c r="O701" s="413"/>
      <c r="P701" s="413"/>
      <c r="Q701" s="413"/>
      <c r="R701" s="413"/>
      <c r="S701" s="413"/>
      <c r="T701" s="413"/>
      <c r="U701" s="413"/>
      <c r="V701" s="413"/>
      <c r="W701" s="413"/>
      <c r="X701" s="413"/>
      <c r="Y701" s="413"/>
      <c r="Z701" s="413"/>
    </row>
    <row r="702" ht="12.0" customHeight="1">
      <c r="A702" s="413"/>
      <c r="B702" s="413"/>
      <c r="C702" s="414"/>
      <c r="D702" s="414"/>
      <c r="E702" s="414"/>
      <c r="F702" s="414"/>
      <c r="G702" s="413"/>
      <c r="H702" s="413"/>
      <c r="I702" s="413"/>
      <c r="J702" s="413"/>
      <c r="K702" s="413"/>
      <c r="L702" s="413"/>
      <c r="M702" s="413"/>
      <c r="N702" s="413"/>
      <c r="O702" s="413"/>
      <c r="P702" s="413"/>
      <c r="Q702" s="413"/>
      <c r="R702" s="413"/>
      <c r="S702" s="413"/>
      <c r="T702" s="413"/>
      <c r="U702" s="413"/>
      <c r="V702" s="413"/>
      <c r="W702" s="413"/>
      <c r="X702" s="413"/>
      <c r="Y702" s="413"/>
      <c r="Z702" s="413"/>
    </row>
    <row r="703" ht="12.0" customHeight="1">
      <c r="A703" s="413"/>
      <c r="B703" s="413"/>
      <c r="C703" s="414"/>
      <c r="D703" s="414"/>
      <c r="E703" s="414"/>
      <c r="F703" s="414"/>
      <c r="G703" s="413"/>
      <c r="H703" s="413"/>
      <c r="I703" s="413"/>
      <c r="J703" s="413"/>
      <c r="K703" s="413"/>
      <c r="L703" s="413"/>
      <c r="M703" s="413"/>
      <c r="N703" s="413"/>
      <c r="O703" s="413"/>
      <c r="P703" s="413"/>
      <c r="Q703" s="413"/>
      <c r="R703" s="413"/>
      <c r="S703" s="413"/>
      <c r="T703" s="413"/>
      <c r="U703" s="413"/>
      <c r="V703" s="413"/>
      <c r="W703" s="413"/>
      <c r="X703" s="413"/>
      <c r="Y703" s="413"/>
      <c r="Z703" s="413"/>
    </row>
    <row r="704" ht="12.0" customHeight="1">
      <c r="A704" s="413"/>
      <c r="B704" s="413"/>
      <c r="C704" s="414"/>
      <c r="D704" s="414"/>
      <c r="E704" s="414"/>
      <c r="F704" s="414"/>
      <c r="G704" s="413"/>
      <c r="H704" s="413"/>
      <c r="I704" s="413"/>
      <c r="J704" s="413"/>
      <c r="K704" s="413"/>
      <c r="L704" s="413"/>
      <c r="M704" s="413"/>
      <c r="N704" s="413"/>
      <c r="O704" s="413"/>
      <c r="P704" s="413"/>
      <c r="Q704" s="413"/>
      <c r="R704" s="413"/>
      <c r="S704" s="413"/>
      <c r="T704" s="413"/>
      <c r="U704" s="413"/>
      <c r="V704" s="413"/>
      <c r="W704" s="413"/>
      <c r="X704" s="413"/>
      <c r="Y704" s="413"/>
      <c r="Z704" s="413"/>
    </row>
    <row r="705" ht="12.0" customHeight="1">
      <c r="A705" s="413"/>
      <c r="B705" s="413"/>
      <c r="C705" s="414"/>
      <c r="D705" s="414"/>
      <c r="E705" s="414"/>
      <c r="F705" s="414"/>
      <c r="G705" s="413"/>
      <c r="H705" s="413"/>
      <c r="I705" s="413"/>
      <c r="J705" s="413"/>
      <c r="K705" s="413"/>
      <c r="L705" s="413"/>
      <c r="M705" s="413"/>
      <c r="N705" s="413"/>
      <c r="O705" s="413"/>
      <c r="P705" s="413"/>
      <c r="Q705" s="413"/>
      <c r="R705" s="413"/>
      <c r="S705" s="413"/>
      <c r="T705" s="413"/>
      <c r="U705" s="413"/>
      <c r="V705" s="413"/>
      <c r="W705" s="413"/>
      <c r="X705" s="413"/>
      <c r="Y705" s="413"/>
      <c r="Z705" s="413"/>
    </row>
    <row r="706" ht="12.0" customHeight="1">
      <c r="A706" s="413"/>
      <c r="B706" s="413"/>
      <c r="C706" s="414"/>
      <c r="D706" s="414"/>
      <c r="E706" s="414"/>
      <c r="F706" s="414"/>
      <c r="G706" s="413"/>
      <c r="H706" s="413"/>
      <c r="I706" s="413"/>
      <c r="J706" s="413"/>
      <c r="K706" s="413"/>
      <c r="L706" s="413"/>
      <c r="M706" s="413"/>
      <c r="N706" s="413"/>
      <c r="O706" s="413"/>
      <c r="P706" s="413"/>
      <c r="Q706" s="413"/>
      <c r="R706" s="413"/>
      <c r="S706" s="413"/>
      <c r="T706" s="413"/>
      <c r="U706" s="413"/>
      <c r="V706" s="413"/>
      <c r="W706" s="413"/>
      <c r="X706" s="413"/>
      <c r="Y706" s="413"/>
      <c r="Z706" s="413"/>
    </row>
    <row r="707" ht="12.0" customHeight="1">
      <c r="A707" s="413"/>
      <c r="B707" s="413"/>
      <c r="C707" s="414"/>
      <c r="D707" s="414"/>
      <c r="E707" s="414"/>
      <c r="F707" s="414"/>
      <c r="G707" s="413"/>
      <c r="H707" s="413"/>
      <c r="I707" s="413"/>
      <c r="J707" s="413"/>
      <c r="K707" s="413"/>
      <c r="L707" s="413"/>
      <c r="M707" s="413"/>
      <c r="N707" s="413"/>
      <c r="O707" s="413"/>
      <c r="P707" s="413"/>
      <c r="Q707" s="413"/>
      <c r="R707" s="413"/>
      <c r="S707" s="413"/>
      <c r="T707" s="413"/>
      <c r="U707" s="413"/>
      <c r="V707" s="413"/>
      <c r="W707" s="413"/>
      <c r="X707" s="413"/>
      <c r="Y707" s="413"/>
      <c r="Z707" s="413"/>
    </row>
    <row r="708" ht="12.0" customHeight="1">
      <c r="A708" s="413"/>
      <c r="B708" s="413"/>
      <c r="C708" s="414"/>
      <c r="D708" s="414"/>
      <c r="E708" s="414"/>
      <c r="F708" s="414"/>
      <c r="G708" s="413"/>
      <c r="H708" s="413"/>
      <c r="I708" s="413"/>
      <c r="J708" s="413"/>
      <c r="K708" s="413"/>
      <c r="L708" s="413"/>
      <c r="M708" s="413"/>
      <c r="N708" s="413"/>
      <c r="O708" s="413"/>
      <c r="P708" s="413"/>
      <c r="Q708" s="413"/>
      <c r="R708" s="413"/>
      <c r="S708" s="413"/>
      <c r="T708" s="413"/>
      <c r="U708" s="413"/>
      <c r="V708" s="413"/>
      <c r="W708" s="413"/>
      <c r="X708" s="413"/>
      <c r="Y708" s="413"/>
      <c r="Z708" s="413"/>
    </row>
    <row r="709" ht="12.0" customHeight="1">
      <c r="A709" s="413"/>
      <c r="B709" s="413"/>
      <c r="C709" s="414"/>
      <c r="D709" s="414"/>
      <c r="E709" s="414"/>
      <c r="F709" s="414"/>
      <c r="G709" s="413"/>
      <c r="H709" s="413"/>
      <c r="I709" s="413"/>
      <c r="J709" s="413"/>
      <c r="K709" s="413"/>
      <c r="L709" s="413"/>
      <c r="M709" s="413"/>
      <c r="N709" s="413"/>
      <c r="O709" s="413"/>
      <c r="P709" s="413"/>
      <c r="Q709" s="413"/>
      <c r="R709" s="413"/>
      <c r="S709" s="413"/>
      <c r="T709" s="413"/>
      <c r="U709" s="413"/>
      <c r="V709" s="413"/>
      <c r="W709" s="413"/>
      <c r="X709" s="413"/>
      <c r="Y709" s="413"/>
      <c r="Z709" s="413"/>
    </row>
    <row r="710" ht="12.0" customHeight="1">
      <c r="A710" s="413"/>
      <c r="B710" s="413"/>
      <c r="C710" s="414"/>
      <c r="D710" s="414"/>
      <c r="E710" s="414"/>
      <c r="F710" s="414"/>
      <c r="G710" s="413"/>
      <c r="H710" s="413"/>
      <c r="I710" s="413"/>
      <c r="J710" s="413"/>
      <c r="K710" s="413"/>
      <c r="L710" s="413"/>
      <c r="M710" s="413"/>
      <c r="N710" s="413"/>
      <c r="O710" s="413"/>
      <c r="P710" s="413"/>
      <c r="Q710" s="413"/>
      <c r="R710" s="413"/>
      <c r="S710" s="413"/>
      <c r="T710" s="413"/>
      <c r="U710" s="413"/>
      <c r="V710" s="413"/>
      <c r="W710" s="413"/>
      <c r="X710" s="413"/>
      <c r="Y710" s="413"/>
      <c r="Z710" s="413"/>
    </row>
    <row r="711" ht="12.0" customHeight="1">
      <c r="A711" s="413"/>
      <c r="B711" s="413"/>
      <c r="C711" s="414"/>
      <c r="D711" s="414"/>
      <c r="E711" s="414"/>
      <c r="F711" s="414"/>
      <c r="G711" s="413"/>
      <c r="H711" s="413"/>
      <c r="I711" s="413"/>
      <c r="J711" s="413"/>
      <c r="K711" s="413"/>
      <c r="L711" s="413"/>
      <c r="M711" s="413"/>
      <c r="N711" s="413"/>
      <c r="O711" s="413"/>
      <c r="P711" s="413"/>
      <c r="Q711" s="413"/>
      <c r="R711" s="413"/>
      <c r="S711" s="413"/>
      <c r="T711" s="413"/>
      <c r="U711" s="413"/>
      <c r="V711" s="413"/>
      <c r="W711" s="413"/>
      <c r="X711" s="413"/>
      <c r="Y711" s="413"/>
      <c r="Z711" s="413"/>
    </row>
    <row r="712" ht="12.0" customHeight="1">
      <c r="A712" s="413"/>
      <c r="B712" s="413"/>
      <c r="C712" s="414"/>
      <c r="D712" s="414"/>
      <c r="E712" s="414"/>
      <c r="F712" s="414"/>
      <c r="G712" s="413"/>
      <c r="H712" s="413"/>
      <c r="I712" s="413"/>
      <c r="J712" s="413"/>
      <c r="K712" s="413"/>
      <c r="L712" s="413"/>
      <c r="M712" s="413"/>
      <c r="N712" s="413"/>
      <c r="O712" s="413"/>
      <c r="P712" s="413"/>
      <c r="Q712" s="413"/>
      <c r="R712" s="413"/>
      <c r="S712" s="413"/>
      <c r="T712" s="413"/>
      <c r="U712" s="413"/>
      <c r="V712" s="413"/>
      <c r="W712" s="413"/>
      <c r="X712" s="413"/>
      <c r="Y712" s="413"/>
      <c r="Z712" s="413"/>
    </row>
    <row r="713" ht="12.0" customHeight="1">
      <c r="A713" s="413"/>
      <c r="B713" s="413"/>
      <c r="C713" s="414"/>
      <c r="D713" s="414"/>
      <c r="E713" s="414"/>
      <c r="F713" s="414"/>
      <c r="G713" s="413"/>
      <c r="H713" s="413"/>
      <c r="I713" s="413"/>
      <c r="J713" s="413"/>
      <c r="K713" s="413"/>
      <c r="L713" s="413"/>
      <c r="M713" s="413"/>
      <c r="N713" s="413"/>
      <c r="O713" s="413"/>
      <c r="P713" s="413"/>
      <c r="Q713" s="413"/>
      <c r="R713" s="413"/>
      <c r="S713" s="413"/>
      <c r="T713" s="413"/>
      <c r="U713" s="413"/>
      <c r="V713" s="413"/>
      <c r="W713" s="413"/>
      <c r="X713" s="413"/>
      <c r="Y713" s="413"/>
      <c r="Z713" s="413"/>
    </row>
    <row r="714" ht="12.0" customHeight="1">
      <c r="A714" s="413"/>
      <c r="B714" s="413"/>
      <c r="C714" s="414"/>
      <c r="D714" s="414"/>
      <c r="E714" s="414"/>
      <c r="F714" s="414"/>
      <c r="G714" s="413"/>
      <c r="H714" s="413"/>
      <c r="I714" s="413"/>
      <c r="J714" s="413"/>
      <c r="K714" s="413"/>
      <c r="L714" s="413"/>
      <c r="M714" s="413"/>
      <c r="N714" s="413"/>
      <c r="O714" s="413"/>
      <c r="P714" s="413"/>
      <c r="Q714" s="413"/>
      <c r="R714" s="413"/>
      <c r="S714" s="413"/>
      <c r="T714" s="413"/>
      <c r="U714" s="413"/>
      <c r="V714" s="413"/>
      <c r="W714" s="413"/>
      <c r="X714" s="413"/>
      <c r="Y714" s="413"/>
      <c r="Z714" s="413"/>
    </row>
    <row r="715" ht="12.0" customHeight="1">
      <c r="A715" s="413"/>
      <c r="B715" s="413"/>
      <c r="C715" s="414"/>
      <c r="D715" s="414"/>
      <c r="E715" s="414"/>
      <c r="F715" s="414"/>
      <c r="G715" s="413"/>
      <c r="H715" s="413"/>
      <c r="I715" s="413"/>
      <c r="J715" s="413"/>
      <c r="K715" s="413"/>
      <c r="L715" s="413"/>
      <c r="M715" s="413"/>
      <c r="N715" s="413"/>
      <c r="O715" s="413"/>
      <c r="P715" s="413"/>
      <c r="Q715" s="413"/>
      <c r="R715" s="413"/>
      <c r="S715" s="413"/>
      <c r="T715" s="413"/>
      <c r="U715" s="413"/>
      <c r="V715" s="413"/>
      <c r="W715" s="413"/>
      <c r="X715" s="413"/>
      <c r="Y715" s="413"/>
      <c r="Z715" s="413"/>
    </row>
    <row r="716" ht="12.0" customHeight="1">
      <c r="A716" s="413"/>
      <c r="B716" s="413"/>
      <c r="C716" s="414"/>
      <c r="D716" s="414"/>
      <c r="E716" s="414"/>
      <c r="F716" s="414"/>
      <c r="G716" s="413"/>
      <c r="H716" s="413"/>
      <c r="I716" s="413"/>
      <c r="J716" s="413"/>
      <c r="K716" s="413"/>
      <c r="L716" s="413"/>
      <c r="M716" s="413"/>
      <c r="N716" s="413"/>
      <c r="O716" s="413"/>
      <c r="P716" s="413"/>
      <c r="Q716" s="413"/>
      <c r="R716" s="413"/>
      <c r="S716" s="413"/>
      <c r="T716" s="413"/>
      <c r="U716" s="413"/>
      <c r="V716" s="413"/>
      <c r="W716" s="413"/>
      <c r="X716" s="413"/>
      <c r="Y716" s="413"/>
      <c r="Z716" s="413"/>
    </row>
    <row r="717" ht="12.0" customHeight="1">
      <c r="A717" s="413"/>
      <c r="B717" s="413"/>
      <c r="C717" s="414"/>
      <c r="D717" s="414"/>
      <c r="E717" s="414"/>
      <c r="F717" s="414"/>
      <c r="G717" s="413"/>
      <c r="H717" s="413"/>
      <c r="I717" s="413"/>
      <c r="J717" s="413"/>
      <c r="K717" s="413"/>
      <c r="L717" s="413"/>
      <c r="M717" s="413"/>
      <c r="N717" s="413"/>
      <c r="O717" s="413"/>
      <c r="P717" s="413"/>
      <c r="Q717" s="413"/>
      <c r="R717" s="413"/>
      <c r="S717" s="413"/>
      <c r="T717" s="413"/>
      <c r="U717" s="413"/>
      <c r="V717" s="413"/>
      <c r="W717" s="413"/>
      <c r="X717" s="413"/>
      <c r="Y717" s="413"/>
      <c r="Z717" s="413"/>
    </row>
    <row r="718" ht="12.0" customHeight="1">
      <c r="A718" s="413"/>
      <c r="B718" s="413"/>
      <c r="C718" s="414"/>
      <c r="D718" s="414"/>
      <c r="E718" s="414"/>
      <c r="F718" s="414"/>
      <c r="G718" s="413"/>
      <c r="H718" s="413"/>
      <c r="I718" s="413"/>
      <c r="J718" s="413"/>
      <c r="K718" s="413"/>
      <c r="L718" s="413"/>
      <c r="M718" s="413"/>
      <c r="N718" s="413"/>
      <c r="O718" s="413"/>
      <c r="P718" s="413"/>
      <c r="Q718" s="413"/>
      <c r="R718" s="413"/>
      <c r="S718" s="413"/>
      <c r="T718" s="413"/>
      <c r="U718" s="413"/>
      <c r="V718" s="413"/>
      <c r="W718" s="413"/>
      <c r="X718" s="413"/>
      <c r="Y718" s="413"/>
      <c r="Z718" s="413"/>
    </row>
    <row r="719" ht="12.0" customHeight="1">
      <c r="A719" s="413"/>
      <c r="B719" s="413"/>
      <c r="C719" s="414"/>
      <c r="D719" s="414"/>
      <c r="E719" s="414"/>
      <c r="F719" s="414"/>
      <c r="G719" s="413"/>
      <c r="H719" s="413"/>
      <c r="I719" s="413"/>
      <c r="J719" s="413"/>
      <c r="K719" s="413"/>
      <c r="L719" s="413"/>
      <c r="M719" s="413"/>
      <c r="N719" s="413"/>
      <c r="O719" s="413"/>
      <c r="P719" s="413"/>
      <c r="Q719" s="413"/>
      <c r="R719" s="413"/>
      <c r="S719" s="413"/>
      <c r="T719" s="413"/>
      <c r="U719" s="413"/>
      <c r="V719" s="413"/>
      <c r="W719" s="413"/>
      <c r="X719" s="413"/>
      <c r="Y719" s="413"/>
      <c r="Z719" s="413"/>
    </row>
    <row r="720" ht="12.0" customHeight="1">
      <c r="A720" s="413"/>
      <c r="B720" s="413"/>
      <c r="C720" s="414"/>
      <c r="D720" s="414"/>
      <c r="E720" s="414"/>
      <c r="F720" s="414"/>
      <c r="G720" s="413"/>
      <c r="H720" s="413"/>
      <c r="I720" s="413"/>
      <c r="J720" s="413"/>
      <c r="K720" s="413"/>
      <c r="L720" s="413"/>
      <c r="M720" s="413"/>
      <c r="N720" s="413"/>
      <c r="O720" s="413"/>
      <c r="P720" s="413"/>
      <c r="Q720" s="413"/>
      <c r="R720" s="413"/>
      <c r="S720" s="413"/>
      <c r="T720" s="413"/>
      <c r="U720" s="413"/>
      <c r="V720" s="413"/>
      <c r="W720" s="413"/>
      <c r="X720" s="413"/>
      <c r="Y720" s="413"/>
      <c r="Z720" s="413"/>
    </row>
    <row r="721" ht="12.0" customHeight="1">
      <c r="A721" s="413"/>
      <c r="B721" s="413"/>
      <c r="C721" s="414"/>
      <c r="D721" s="414"/>
      <c r="E721" s="414"/>
      <c r="F721" s="414"/>
      <c r="G721" s="413"/>
      <c r="H721" s="413"/>
      <c r="I721" s="413"/>
      <c r="J721" s="413"/>
      <c r="K721" s="413"/>
      <c r="L721" s="413"/>
      <c r="M721" s="413"/>
      <c r="N721" s="413"/>
      <c r="O721" s="413"/>
      <c r="P721" s="413"/>
      <c r="Q721" s="413"/>
      <c r="R721" s="413"/>
      <c r="S721" s="413"/>
      <c r="T721" s="413"/>
      <c r="U721" s="413"/>
      <c r="V721" s="413"/>
      <c r="W721" s="413"/>
      <c r="X721" s="413"/>
      <c r="Y721" s="413"/>
      <c r="Z721" s="413"/>
    </row>
    <row r="722" ht="12.0" customHeight="1">
      <c r="A722" s="413"/>
      <c r="B722" s="413"/>
      <c r="C722" s="414"/>
      <c r="D722" s="414"/>
      <c r="E722" s="414"/>
      <c r="F722" s="414"/>
      <c r="G722" s="413"/>
      <c r="H722" s="413"/>
      <c r="I722" s="413"/>
      <c r="J722" s="413"/>
      <c r="K722" s="413"/>
      <c r="L722" s="413"/>
      <c r="M722" s="413"/>
      <c r="N722" s="413"/>
      <c r="O722" s="413"/>
      <c r="P722" s="413"/>
      <c r="Q722" s="413"/>
      <c r="R722" s="413"/>
      <c r="S722" s="413"/>
      <c r="T722" s="413"/>
      <c r="U722" s="413"/>
      <c r="V722" s="413"/>
      <c r="W722" s="413"/>
      <c r="X722" s="413"/>
      <c r="Y722" s="413"/>
      <c r="Z722" s="413"/>
    </row>
    <row r="723" ht="12.0" customHeight="1">
      <c r="A723" s="413"/>
      <c r="B723" s="413"/>
      <c r="C723" s="414"/>
      <c r="D723" s="414"/>
      <c r="E723" s="414"/>
      <c r="F723" s="414"/>
      <c r="G723" s="413"/>
      <c r="H723" s="413"/>
      <c r="I723" s="413"/>
      <c r="J723" s="413"/>
      <c r="K723" s="413"/>
      <c r="L723" s="413"/>
      <c r="M723" s="413"/>
      <c r="N723" s="413"/>
      <c r="O723" s="413"/>
      <c r="P723" s="413"/>
      <c r="Q723" s="413"/>
      <c r="R723" s="413"/>
      <c r="S723" s="413"/>
      <c r="T723" s="413"/>
      <c r="U723" s="413"/>
      <c r="V723" s="413"/>
      <c r="W723" s="413"/>
      <c r="X723" s="413"/>
      <c r="Y723" s="413"/>
      <c r="Z723" s="413"/>
    </row>
    <row r="724" ht="12.0" customHeight="1">
      <c r="A724" s="413"/>
      <c r="B724" s="413"/>
      <c r="C724" s="414"/>
      <c r="D724" s="414"/>
      <c r="E724" s="414"/>
      <c r="F724" s="414"/>
      <c r="G724" s="413"/>
      <c r="H724" s="413"/>
      <c r="I724" s="413"/>
      <c r="J724" s="413"/>
      <c r="K724" s="413"/>
      <c r="L724" s="413"/>
      <c r="M724" s="413"/>
      <c r="N724" s="413"/>
      <c r="O724" s="413"/>
      <c r="P724" s="413"/>
      <c r="Q724" s="413"/>
      <c r="R724" s="413"/>
      <c r="S724" s="413"/>
      <c r="T724" s="413"/>
      <c r="U724" s="413"/>
      <c r="V724" s="413"/>
      <c r="W724" s="413"/>
      <c r="X724" s="413"/>
      <c r="Y724" s="413"/>
      <c r="Z724" s="413"/>
    </row>
    <row r="725" ht="12.0" customHeight="1">
      <c r="A725" s="413"/>
      <c r="B725" s="413"/>
      <c r="C725" s="414"/>
      <c r="D725" s="414"/>
      <c r="E725" s="414"/>
      <c r="F725" s="414"/>
      <c r="G725" s="413"/>
      <c r="H725" s="413"/>
      <c r="I725" s="413"/>
      <c r="J725" s="413"/>
      <c r="K725" s="413"/>
      <c r="L725" s="413"/>
      <c r="M725" s="413"/>
      <c r="N725" s="413"/>
      <c r="O725" s="413"/>
      <c r="P725" s="413"/>
      <c r="Q725" s="413"/>
      <c r="R725" s="413"/>
      <c r="S725" s="413"/>
      <c r="T725" s="413"/>
      <c r="U725" s="413"/>
      <c r="V725" s="413"/>
      <c r="W725" s="413"/>
      <c r="X725" s="413"/>
      <c r="Y725" s="413"/>
      <c r="Z725" s="413"/>
    </row>
    <row r="726" ht="12.0" customHeight="1">
      <c r="A726" s="413"/>
      <c r="B726" s="413"/>
      <c r="C726" s="414"/>
      <c r="D726" s="414"/>
      <c r="E726" s="414"/>
      <c r="F726" s="414"/>
      <c r="G726" s="413"/>
      <c r="H726" s="413"/>
      <c r="I726" s="413"/>
      <c r="J726" s="413"/>
      <c r="K726" s="413"/>
      <c r="L726" s="413"/>
      <c r="M726" s="413"/>
      <c r="N726" s="413"/>
      <c r="O726" s="413"/>
      <c r="P726" s="413"/>
      <c r="Q726" s="413"/>
      <c r="R726" s="413"/>
      <c r="S726" s="413"/>
      <c r="T726" s="413"/>
      <c r="U726" s="413"/>
      <c r="V726" s="413"/>
      <c r="W726" s="413"/>
      <c r="X726" s="413"/>
      <c r="Y726" s="413"/>
      <c r="Z726" s="413"/>
    </row>
    <row r="727" ht="12.0" customHeight="1">
      <c r="A727" s="413"/>
      <c r="B727" s="413"/>
      <c r="C727" s="414"/>
      <c r="D727" s="414"/>
      <c r="E727" s="414"/>
      <c r="F727" s="414"/>
      <c r="G727" s="413"/>
      <c r="H727" s="413"/>
      <c r="I727" s="413"/>
      <c r="J727" s="413"/>
      <c r="K727" s="413"/>
      <c r="L727" s="413"/>
      <c r="M727" s="413"/>
      <c r="N727" s="413"/>
      <c r="O727" s="413"/>
      <c r="P727" s="413"/>
      <c r="Q727" s="413"/>
      <c r="R727" s="413"/>
      <c r="S727" s="413"/>
      <c r="T727" s="413"/>
      <c r="U727" s="413"/>
      <c r="V727" s="413"/>
      <c r="W727" s="413"/>
      <c r="X727" s="413"/>
      <c r="Y727" s="413"/>
      <c r="Z727" s="413"/>
    </row>
    <row r="728" ht="12.0" customHeight="1">
      <c r="A728" s="413"/>
      <c r="B728" s="413"/>
      <c r="C728" s="414"/>
      <c r="D728" s="414"/>
      <c r="E728" s="414"/>
      <c r="F728" s="414"/>
      <c r="G728" s="413"/>
      <c r="H728" s="413"/>
      <c r="I728" s="413"/>
      <c r="J728" s="413"/>
      <c r="K728" s="413"/>
      <c r="L728" s="413"/>
      <c r="M728" s="413"/>
      <c r="N728" s="413"/>
      <c r="O728" s="413"/>
      <c r="P728" s="413"/>
      <c r="Q728" s="413"/>
      <c r="R728" s="413"/>
      <c r="S728" s="413"/>
      <c r="T728" s="413"/>
      <c r="U728" s="413"/>
      <c r="V728" s="413"/>
      <c r="W728" s="413"/>
      <c r="X728" s="413"/>
      <c r="Y728" s="413"/>
      <c r="Z728" s="413"/>
    </row>
    <row r="729" ht="12.0" customHeight="1">
      <c r="A729" s="413"/>
      <c r="B729" s="413"/>
      <c r="C729" s="414"/>
      <c r="D729" s="414"/>
      <c r="E729" s="414"/>
      <c r="F729" s="414"/>
      <c r="G729" s="413"/>
      <c r="H729" s="413"/>
      <c r="I729" s="413"/>
      <c r="J729" s="413"/>
      <c r="K729" s="413"/>
      <c r="L729" s="413"/>
      <c r="M729" s="413"/>
      <c r="N729" s="413"/>
      <c r="O729" s="413"/>
      <c r="P729" s="413"/>
      <c r="Q729" s="413"/>
      <c r="R729" s="413"/>
      <c r="S729" s="413"/>
      <c r="T729" s="413"/>
      <c r="U729" s="413"/>
      <c r="V729" s="413"/>
      <c r="W729" s="413"/>
      <c r="X729" s="413"/>
      <c r="Y729" s="413"/>
      <c r="Z729" s="413"/>
    </row>
    <row r="730" ht="12.0" customHeight="1">
      <c r="A730" s="413"/>
      <c r="B730" s="413"/>
      <c r="C730" s="414"/>
      <c r="D730" s="414"/>
      <c r="E730" s="414"/>
      <c r="F730" s="414"/>
      <c r="G730" s="413"/>
      <c r="H730" s="413"/>
      <c r="I730" s="413"/>
      <c r="J730" s="413"/>
      <c r="K730" s="413"/>
      <c r="L730" s="413"/>
      <c r="M730" s="413"/>
      <c r="N730" s="413"/>
      <c r="O730" s="413"/>
      <c r="P730" s="413"/>
      <c r="Q730" s="413"/>
      <c r="R730" s="413"/>
      <c r="S730" s="413"/>
      <c r="T730" s="413"/>
      <c r="U730" s="413"/>
      <c r="V730" s="413"/>
      <c r="W730" s="413"/>
      <c r="X730" s="413"/>
      <c r="Y730" s="413"/>
      <c r="Z730" s="413"/>
    </row>
    <row r="731" ht="12.0" customHeight="1">
      <c r="A731" s="413"/>
      <c r="B731" s="413"/>
      <c r="C731" s="414"/>
      <c r="D731" s="414"/>
      <c r="E731" s="414"/>
      <c r="F731" s="414"/>
      <c r="G731" s="413"/>
      <c r="H731" s="413"/>
      <c r="I731" s="413"/>
      <c r="J731" s="413"/>
      <c r="K731" s="413"/>
      <c r="L731" s="413"/>
      <c r="M731" s="413"/>
      <c r="N731" s="413"/>
      <c r="O731" s="413"/>
      <c r="P731" s="413"/>
      <c r="Q731" s="413"/>
      <c r="R731" s="413"/>
      <c r="S731" s="413"/>
      <c r="T731" s="413"/>
      <c r="U731" s="413"/>
      <c r="V731" s="413"/>
      <c r="W731" s="413"/>
      <c r="X731" s="413"/>
      <c r="Y731" s="413"/>
      <c r="Z731" s="413"/>
    </row>
    <row r="732" ht="12.0" customHeight="1">
      <c r="A732" s="413"/>
      <c r="B732" s="413"/>
      <c r="C732" s="414"/>
      <c r="D732" s="414"/>
      <c r="E732" s="414"/>
      <c r="F732" s="414"/>
      <c r="G732" s="413"/>
      <c r="H732" s="413"/>
      <c r="I732" s="413"/>
      <c r="J732" s="413"/>
      <c r="K732" s="413"/>
      <c r="L732" s="413"/>
      <c r="M732" s="413"/>
      <c r="N732" s="413"/>
      <c r="O732" s="413"/>
      <c r="P732" s="413"/>
      <c r="Q732" s="413"/>
      <c r="R732" s="413"/>
      <c r="S732" s="413"/>
      <c r="T732" s="413"/>
      <c r="U732" s="413"/>
      <c r="V732" s="413"/>
      <c r="W732" s="413"/>
      <c r="X732" s="413"/>
      <c r="Y732" s="413"/>
      <c r="Z732" s="413"/>
    </row>
    <row r="733" ht="12.0" customHeight="1">
      <c r="A733" s="413"/>
      <c r="B733" s="413"/>
      <c r="C733" s="414"/>
      <c r="D733" s="414"/>
      <c r="E733" s="414"/>
      <c r="F733" s="414"/>
      <c r="G733" s="413"/>
      <c r="H733" s="413"/>
      <c r="I733" s="413"/>
      <c r="J733" s="413"/>
      <c r="K733" s="413"/>
      <c r="L733" s="413"/>
      <c r="M733" s="413"/>
      <c r="N733" s="413"/>
      <c r="O733" s="413"/>
      <c r="P733" s="413"/>
      <c r="Q733" s="413"/>
      <c r="R733" s="413"/>
      <c r="S733" s="413"/>
      <c r="T733" s="413"/>
      <c r="U733" s="413"/>
      <c r="V733" s="413"/>
      <c r="W733" s="413"/>
      <c r="X733" s="413"/>
      <c r="Y733" s="413"/>
      <c r="Z733" s="413"/>
    </row>
    <row r="734" ht="12.0" customHeight="1">
      <c r="A734" s="413"/>
      <c r="B734" s="413"/>
      <c r="C734" s="414"/>
      <c r="D734" s="414"/>
      <c r="E734" s="414"/>
      <c r="F734" s="414"/>
      <c r="G734" s="413"/>
      <c r="H734" s="413"/>
      <c r="I734" s="413"/>
      <c r="J734" s="413"/>
      <c r="K734" s="413"/>
      <c r="L734" s="413"/>
      <c r="M734" s="413"/>
      <c r="N734" s="413"/>
      <c r="O734" s="413"/>
      <c r="P734" s="413"/>
      <c r="Q734" s="413"/>
      <c r="R734" s="413"/>
      <c r="S734" s="413"/>
      <c r="T734" s="413"/>
      <c r="U734" s="413"/>
      <c r="V734" s="413"/>
      <c r="W734" s="413"/>
      <c r="X734" s="413"/>
      <c r="Y734" s="413"/>
      <c r="Z734" s="413"/>
    </row>
    <row r="735" ht="12.0" customHeight="1">
      <c r="A735" s="413"/>
      <c r="B735" s="413"/>
      <c r="C735" s="414"/>
      <c r="D735" s="414"/>
      <c r="E735" s="414"/>
      <c r="F735" s="414"/>
      <c r="G735" s="413"/>
      <c r="H735" s="413"/>
      <c r="I735" s="413"/>
      <c r="J735" s="413"/>
      <c r="K735" s="413"/>
      <c r="L735" s="413"/>
      <c r="M735" s="413"/>
      <c r="N735" s="413"/>
      <c r="O735" s="413"/>
      <c r="P735" s="413"/>
      <c r="Q735" s="413"/>
      <c r="R735" s="413"/>
      <c r="S735" s="413"/>
      <c r="T735" s="413"/>
      <c r="U735" s="413"/>
      <c r="V735" s="413"/>
      <c r="W735" s="413"/>
      <c r="X735" s="413"/>
      <c r="Y735" s="413"/>
      <c r="Z735" s="413"/>
    </row>
    <row r="736" ht="12.0" customHeight="1">
      <c r="A736" s="413"/>
      <c r="B736" s="413"/>
      <c r="C736" s="414"/>
      <c r="D736" s="414"/>
      <c r="E736" s="414"/>
      <c r="F736" s="414"/>
      <c r="G736" s="413"/>
      <c r="H736" s="413"/>
      <c r="I736" s="413"/>
      <c r="J736" s="413"/>
      <c r="K736" s="413"/>
      <c r="L736" s="413"/>
      <c r="M736" s="413"/>
      <c r="N736" s="413"/>
      <c r="O736" s="413"/>
      <c r="P736" s="413"/>
      <c r="Q736" s="413"/>
      <c r="R736" s="413"/>
      <c r="S736" s="413"/>
      <c r="T736" s="413"/>
      <c r="U736" s="413"/>
      <c r="V736" s="413"/>
      <c r="W736" s="413"/>
      <c r="X736" s="413"/>
      <c r="Y736" s="413"/>
      <c r="Z736" s="413"/>
    </row>
    <row r="737" ht="12.0" customHeight="1">
      <c r="A737" s="413"/>
      <c r="B737" s="413"/>
      <c r="C737" s="414"/>
      <c r="D737" s="414"/>
      <c r="E737" s="414"/>
      <c r="F737" s="414"/>
      <c r="G737" s="413"/>
      <c r="H737" s="413"/>
      <c r="I737" s="413"/>
      <c r="J737" s="413"/>
      <c r="K737" s="413"/>
      <c r="L737" s="413"/>
      <c r="M737" s="413"/>
      <c r="N737" s="413"/>
      <c r="O737" s="413"/>
      <c r="P737" s="413"/>
      <c r="Q737" s="413"/>
      <c r="R737" s="413"/>
      <c r="S737" s="413"/>
      <c r="T737" s="413"/>
      <c r="U737" s="413"/>
      <c r="V737" s="413"/>
      <c r="W737" s="413"/>
      <c r="X737" s="413"/>
      <c r="Y737" s="413"/>
      <c r="Z737" s="413"/>
    </row>
    <row r="738" ht="12.0" customHeight="1">
      <c r="A738" s="413"/>
      <c r="B738" s="413"/>
      <c r="C738" s="414"/>
      <c r="D738" s="414"/>
      <c r="E738" s="414"/>
      <c r="F738" s="414"/>
      <c r="G738" s="413"/>
      <c r="H738" s="413"/>
      <c r="I738" s="413"/>
      <c r="J738" s="413"/>
      <c r="K738" s="413"/>
      <c r="L738" s="413"/>
      <c r="M738" s="413"/>
      <c r="N738" s="413"/>
      <c r="O738" s="413"/>
      <c r="P738" s="413"/>
      <c r="Q738" s="413"/>
      <c r="R738" s="413"/>
      <c r="S738" s="413"/>
      <c r="T738" s="413"/>
      <c r="U738" s="413"/>
      <c r="V738" s="413"/>
      <c r="W738" s="413"/>
      <c r="X738" s="413"/>
      <c r="Y738" s="413"/>
      <c r="Z738" s="413"/>
    </row>
    <row r="739" ht="12.0" customHeight="1">
      <c r="A739" s="413"/>
      <c r="B739" s="413"/>
      <c r="C739" s="414"/>
      <c r="D739" s="414"/>
      <c r="E739" s="414"/>
      <c r="F739" s="414"/>
      <c r="G739" s="413"/>
      <c r="H739" s="413"/>
      <c r="I739" s="413"/>
      <c r="J739" s="413"/>
      <c r="K739" s="413"/>
      <c r="L739" s="413"/>
      <c r="M739" s="413"/>
      <c r="N739" s="413"/>
      <c r="O739" s="413"/>
      <c r="P739" s="413"/>
      <c r="Q739" s="413"/>
      <c r="R739" s="413"/>
      <c r="S739" s="413"/>
      <c r="T739" s="413"/>
      <c r="U739" s="413"/>
      <c r="V739" s="413"/>
      <c r="W739" s="413"/>
      <c r="X739" s="413"/>
      <c r="Y739" s="413"/>
      <c r="Z739" s="413"/>
    </row>
    <row r="740" ht="12.0" customHeight="1">
      <c r="A740" s="413"/>
      <c r="B740" s="413"/>
      <c r="C740" s="414"/>
      <c r="D740" s="414"/>
      <c r="E740" s="414"/>
      <c r="F740" s="414"/>
      <c r="G740" s="413"/>
      <c r="H740" s="413"/>
      <c r="I740" s="413"/>
      <c r="J740" s="413"/>
      <c r="K740" s="413"/>
      <c r="L740" s="413"/>
      <c r="M740" s="413"/>
      <c r="N740" s="413"/>
      <c r="O740" s="413"/>
      <c r="P740" s="413"/>
      <c r="Q740" s="413"/>
      <c r="R740" s="413"/>
      <c r="S740" s="413"/>
      <c r="T740" s="413"/>
      <c r="U740" s="413"/>
      <c r="V740" s="413"/>
      <c r="W740" s="413"/>
      <c r="X740" s="413"/>
      <c r="Y740" s="413"/>
      <c r="Z740" s="413"/>
    </row>
    <row r="741" ht="12.0" customHeight="1">
      <c r="A741" s="413"/>
      <c r="B741" s="413"/>
      <c r="C741" s="414"/>
      <c r="D741" s="414"/>
      <c r="E741" s="414"/>
      <c r="F741" s="414"/>
      <c r="G741" s="413"/>
      <c r="H741" s="413"/>
      <c r="I741" s="413"/>
      <c r="J741" s="413"/>
      <c r="K741" s="413"/>
      <c r="L741" s="413"/>
      <c r="M741" s="413"/>
      <c r="N741" s="413"/>
      <c r="O741" s="413"/>
      <c r="P741" s="413"/>
      <c r="Q741" s="413"/>
      <c r="R741" s="413"/>
      <c r="S741" s="413"/>
      <c r="T741" s="413"/>
      <c r="U741" s="413"/>
      <c r="V741" s="413"/>
      <c r="W741" s="413"/>
      <c r="X741" s="413"/>
      <c r="Y741" s="413"/>
      <c r="Z741" s="413"/>
    </row>
    <row r="742" ht="12.0" customHeight="1">
      <c r="A742" s="413"/>
      <c r="B742" s="413"/>
      <c r="C742" s="414"/>
      <c r="D742" s="414"/>
      <c r="E742" s="414"/>
      <c r="F742" s="414"/>
      <c r="G742" s="413"/>
      <c r="H742" s="413"/>
      <c r="I742" s="413"/>
      <c r="J742" s="413"/>
      <c r="K742" s="413"/>
      <c r="L742" s="413"/>
      <c r="M742" s="413"/>
      <c r="N742" s="413"/>
      <c r="O742" s="413"/>
      <c r="P742" s="413"/>
      <c r="Q742" s="413"/>
      <c r="R742" s="413"/>
      <c r="S742" s="413"/>
      <c r="T742" s="413"/>
      <c r="U742" s="413"/>
      <c r="V742" s="413"/>
      <c r="W742" s="413"/>
      <c r="X742" s="413"/>
      <c r="Y742" s="413"/>
      <c r="Z742" s="413"/>
    </row>
    <row r="743" ht="12.0" customHeight="1">
      <c r="A743" s="413"/>
      <c r="B743" s="413"/>
      <c r="C743" s="414"/>
      <c r="D743" s="414"/>
      <c r="E743" s="414"/>
      <c r="F743" s="414"/>
      <c r="G743" s="413"/>
      <c r="H743" s="413"/>
      <c r="I743" s="413"/>
      <c r="J743" s="413"/>
      <c r="K743" s="413"/>
      <c r="L743" s="413"/>
      <c r="M743" s="413"/>
      <c r="N743" s="413"/>
      <c r="O743" s="413"/>
      <c r="P743" s="413"/>
      <c r="Q743" s="413"/>
      <c r="R743" s="413"/>
      <c r="S743" s="413"/>
      <c r="T743" s="413"/>
      <c r="U743" s="413"/>
      <c r="V743" s="413"/>
      <c r="W743" s="413"/>
      <c r="X743" s="413"/>
      <c r="Y743" s="413"/>
      <c r="Z743" s="413"/>
    </row>
    <row r="744" ht="12.0" customHeight="1">
      <c r="A744" s="413"/>
      <c r="B744" s="413"/>
      <c r="C744" s="414"/>
      <c r="D744" s="414"/>
      <c r="E744" s="414"/>
      <c r="F744" s="414"/>
      <c r="G744" s="413"/>
      <c r="H744" s="413"/>
      <c r="I744" s="413"/>
      <c r="J744" s="413"/>
      <c r="K744" s="413"/>
      <c r="L744" s="413"/>
      <c r="M744" s="413"/>
      <c r="N744" s="413"/>
      <c r="O744" s="413"/>
      <c r="P744" s="413"/>
      <c r="Q744" s="413"/>
      <c r="R744" s="413"/>
      <c r="S744" s="413"/>
      <c r="T744" s="413"/>
      <c r="U744" s="413"/>
      <c r="V744" s="413"/>
      <c r="W744" s="413"/>
      <c r="X744" s="413"/>
      <c r="Y744" s="413"/>
      <c r="Z744" s="413"/>
    </row>
    <row r="745" ht="12.0" customHeight="1">
      <c r="A745" s="413"/>
      <c r="B745" s="413"/>
      <c r="C745" s="414"/>
      <c r="D745" s="414"/>
      <c r="E745" s="414"/>
      <c r="F745" s="414"/>
      <c r="G745" s="413"/>
      <c r="H745" s="413"/>
      <c r="I745" s="413"/>
      <c r="J745" s="413"/>
      <c r="K745" s="413"/>
      <c r="L745" s="413"/>
      <c r="M745" s="413"/>
      <c r="N745" s="413"/>
      <c r="O745" s="413"/>
      <c r="P745" s="413"/>
      <c r="Q745" s="413"/>
      <c r="R745" s="413"/>
      <c r="S745" s="413"/>
      <c r="T745" s="413"/>
      <c r="U745" s="413"/>
      <c r="V745" s="413"/>
      <c r="W745" s="413"/>
      <c r="X745" s="413"/>
      <c r="Y745" s="413"/>
      <c r="Z745" s="413"/>
    </row>
    <row r="746" ht="12.0" customHeight="1">
      <c r="A746" s="413"/>
      <c r="B746" s="413"/>
      <c r="C746" s="414"/>
      <c r="D746" s="414"/>
      <c r="E746" s="414"/>
      <c r="F746" s="414"/>
      <c r="G746" s="413"/>
      <c r="H746" s="413"/>
      <c r="I746" s="413"/>
      <c r="J746" s="413"/>
      <c r="K746" s="413"/>
      <c r="L746" s="413"/>
      <c r="M746" s="413"/>
      <c r="N746" s="413"/>
      <c r="O746" s="413"/>
      <c r="P746" s="413"/>
      <c r="Q746" s="413"/>
      <c r="R746" s="413"/>
      <c r="S746" s="413"/>
      <c r="T746" s="413"/>
      <c r="U746" s="413"/>
      <c r="V746" s="413"/>
      <c r="W746" s="413"/>
      <c r="X746" s="413"/>
      <c r="Y746" s="413"/>
      <c r="Z746" s="413"/>
    </row>
    <row r="747" ht="12.0" customHeight="1">
      <c r="A747" s="413"/>
      <c r="B747" s="413"/>
      <c r="C747" s="414"/>
      <c r="D747" s="414"/>
      <c r="E747" s="414"/>
      <c r="F747" s="414"/>
      <c r="G747" s="413"/>
      <c r="H747" s="413"/>
      <c r="I747" s="413"/>
      <c r="J747" s="413"/>
      <c r="K747" s="413"/>
      <c r="L747" s="413"/>
      <c r="M747" s="413"/>
      <c r="N747" s="413"/>
      <c r="O747" s="413"/>
      <c r="P747" s="413"/>
      <c r="Q747" s="413"/>
      <c r="R747" s="413"/>
      <c r="S747" s="413"/>
      <c r="T747" s="413"/>
      <c r="U747" s="413"/>
      <c r="V747" s="413"/>
      <c r="W747" s="413"/>
      <c r="X747" s="413"/>
      <c r="Y747" s="413"/>
      <c r="Z747" s="413"/>
    </row>
    <row r="748" ht="12.0" customHeight="1">
      <c r="A748" s="413"/>
      <c r="B748" s="413"/>
      <c r="C748" s="414"/>
      <c r="D748" s="414"/>
      <c r="E748" s="414"/>
      <c r="F748" s="414"/>
      <c r="G748" s="413"/>
      <c r="H748" s="413"/>
      <c r="I748" s="413"/>
      <c r="J748" s="413"/>
      <c r="K748" s="413"/>
      <c r="L748" s="413"/>
      <c r="M748" s="413"/>
      <c r="N748" s="413"/>
      <c r="O748" s="413"/>
      <c r="P748" s="413"/>
      <c r="Q748" s="413"/>
      <c r="R748" s="413"/>
      <c r="S748" s="413"/>
      <c r="T748" s="413"/>
      <c r="U748" s="413"/>
      <c r="V748" s="413"/>
      <c r="W748" s="413"/>
      <c r="X748" s="413"/>
      <c r="Y748" s="413"/>
      <c r="Z748" s="413"/>
    </row>
    <row r="749" ht="12.0" customHeight="1">
      <c r="A749" s="413"/>
      <c r="B749" s="413"/>
      <c r="C749" s="414"/>
      <c r="D749" s="414"/>
      <c r="E749" s="414"/>
      <c r="F749" s="414"/>
      <c r="G749" s="413"/>
      <c r="H749" s="413"/>
      <c r="I749" s="413"/>
      <c r="J749" s="413"/>
      <c r="K749" s="413"/>
      <c r="L749" s="413"/>
      <c r="M749" s="413"/>
      <c r="N749" s="413"/>
      <c r="O749" s="413"/>
      <c r="P749" s="413"/>
      <c r="Q749" s="413"/>
      <c r="R749" s="413"/>
      <c r="S749" s="413"/>
      <c r="T749" s="413"/>
      <c r="U749" s="413"/>
      <c r="V749" s="413"/>
      <c r="W749" s="413"/>
      <c r="X749" s="413"/>
      <c r="Y749" s="413"/>
      <c r="Z749" s="413"/>
    </row>
    <row r="750" ht="12.0" customHeight="1">
      <c r="A750" s="413"/>
      <c r="B750" s="413"/>
      <c r="C750" s="414"/>
      <c r="D750" s="414"/>
      <c r="E750" s="414"/>
      <c r="F750" s="414"/>
      <c r="G750" s="413"/>
      <c r="H750" s="413"/>
      <c r="I750" s="413"/>
      <c r="J750" s="413"/>
      <c r="K750" s="413"/>
      <c r="L750" s="413"/>
      <c r="M750" s="413"/>
      <c r="N750" s="413"/>
      <c r="O750" s="413"/>
      <c r="P750" s="413"/>
      <c r="Q750" s="413"/>
      <c r="R750" s="413"/>
      <c r="S750" s="413"/>
      <c r="T750" s="413"/>
      <c r="U750" s="413"/>
      <c r="V750" s="413"/>
      <c r="W750" s="413"/>
      <c r="X750" s="413"/>
      <c r="Y750" s="413"/>
      <c r="Z750" s="413"/>
    </row>
    <row r="751" ht="12.0" customHeight="1">
      <c r="A751" s="413"/>
      <c r="B751" s="413"/>
      <c r="C751" s="414"/>
      <c r="D751" s="414"/>
      <c r="E751" s="414"/>
      <c r="F751" s="414"/>
      <c r="G751" s="413"/>
      <c r="H751" s="413"/>
      <c r="I751" s="413"/>
      <c r="J751" s="413"/>
      <c r="K751" s="413"/>
      <c r="L751" s="413"/>
      <c r="M751" s="413"/>
      <c r="N751" s="413"/>
      <c r="O751" s="413"/>
      <c r="P751" s="413"/>
      <c r="Q751" s="413"/>
      <c r="R751" s="413"/>
      <c r="S751" s="413"/>
      <c r="T751" s="413"/>
      <c r="U751" s="413"/>
      <c r="V751" s="413"/>
      <c r="W751" s="413"/>
      <c r="X751" s="413"/>
      <c r="Y751" s="413"/>
      <c r="Z751" s="413"/>
    </row>
    <row r="752" ht="12.0" customHeight="1">
      <c r="A752" s="413"/>
      <c r="B752" s="413"/>
      <c r="C752" s="414"/>
      <c r="D752" s="414"/>
      <c r="E752" s="414"/>
      <c r="F752" s="414"/>
      <c r="G752" s="413"/>
      <c r="H752" s="413"/>
      <c r="I752" s="413"/>
      <c r="J752" s="413"/>
      <c r="K752" s="413"/>
      <c r="L752" s="413"/>
      <c r="M752" s="413"/>
      <c r="N752" s="413"/>
      <c r="O752" s="413"/>
      <c r="P752" s="413"/>
      <c r="Q752" s="413"/>
      <c r="R752" s="413"/>
      <c r="S752" s="413"/>
      <c r="T752" s="413"/>
      <c r="U752" s="413"/>
      <c r="V752" s="413"/>
      <c r="W752" s="413"/>
      <c r="X752" s="413"/>
      <c r="Y752" s="413"/>
      <c r="Z752" s="413"/>
    </row>
    <row r="753" ht="12.0" customHeight="1">
      <c r="A753" s="413"/>
      <c r="B753" s="413"/>
      <c r="C753" s="414"/>
      <c r="D753" s="414"/>
      <c r="E753" s="414"/>
      <c r="F753" s="414"/>
      <c r="G753" s="413"/>
      <c r="H753" s="413"/>
      <c r="I753" s="413"/>
      <c r="J753" s="413"/>
      <c r="K753" s="413"/>
      <c r="L753" s="413"/>
      <c r="M753" s="413"/>
      <c r="N753" s="413"/>
      <c r="O753" s="413"/>
      <c r="P753" s="413"/>
      <c r="Q753" s="413"/>
      <c r="R753" s="413"/>
      <c r="S753" s="413"/>
      <c r="T753" s="413"/>
      <c r="U753" s="413"/>
      <c r="V753" s="413"/>
      <c r="W753" s="413"/>
      <c r="X753" s="413"/>
      <c r="Y753" s="413"/>
      <c r="Z753" s="413"/>
    </row>
    <row r="754" ht="12.0" customHeight="1">
      <c r="A754" s="413"/>
      <c r="B754" s="413"/>
      <c r="C754" s="414"/>
      <c r="D754" s="414"/>
      <c r="E754" s="414"/>
      <c r="F754" s="414"/>
      <c r="G754" s="413"/>
      <c r="H754" s="413"/>
      <c r="I754" s="413"/>
      <c r="J754" s="413"/>
      <c r="K754" s="413"/>
      <c r="L754" s="413"/>
      <c r="M754" s="413"/>
      <c r="N754" s="413"/>
      <c r="O754" s="413"/>
      <c r="P754" s="413"/>
      <c r="Q754" s="413"/>
      <c r="R754" s="413"/>
      <c r="S754" s="413"/>
      <c r="T754" s="413"/>
      <c r="U754" s="413"/>
      <c r="V754" s="413"/>
      <c r="W754" s="413"/>
      <c r="X754" s="413"/>
      <c r="Y754" s="413"/>
      <c r="Z754" s="413"/>
    </row>
    <row r="755" ht="12.0" customHeight="1">
      <c r="A755" s="413"/>
      <c r="B755" s="413"/>
      <c r="C755" s="414"/>
      <c r="D755" s="414"/>
      <c r="E755" s="414"/>
      <c r="F755" s="414"/>
      <c r="G755" s="413"/>
      <c r="H755" s="413"/>
      <c r="I755" s="413"/>
      <c r="J755" s="413"/>
      <c r="K755" s="413"/>
      <c r="L755" s="413"/>
      <c r="M755" s="413"/>
      <c r="N755" s="413"/>
      <c r="O755" s="413"/>
      <c r="P755" s="413"/>
      <c r="Q755" s="413"/>
      <c r="R755" s="413"/>
      <c r="S755" s="413"/>
      <c r="T755" s="413"/>
      <c r="U755" s="413"/>
      <c r="V755" s="413"/>
      <c r="W755" s="413"/>
      <c r="X755" s="413"/>
      <c r="Y755" s="413"/>
      <c r="Z755" s="413"/>
    </row>
    <row r="756" ht="12.0" customHeight="1">
      <c r="A756" s="413"/>
      <c r="B756" s="413"/>
      <c r="C756" s="414"/>
      <c r="D756" s="414"/>
      <c r="E756" s="414"/>
      <c r="F756" s="414"/>
      <c r="G756" s="413"/>
      <c r="H756" s="413"/>
      <c r="I756" s="413"/>
      <c r="J756" s="413"/>
      <c r="K756" s="413"/>
      <c r="L756" s="413"/>
      <c r="M756" s="413"/>
      <c r="N756" s="413"/>
      <c r="O756" s="413"/>
      <c r="P756" s="413"/>
      <c r="Q756" s="413"/>
      <c r="R756" s="413"/>
      <c r="S756" s="413"/>
      <c r="T756" s="413"/>
      <c r="U756" s="413"/>
      <c r="V756" s="413"/>
      <c r="W756" s="413"/>
      <c r="X756" s="413"/>
      <c r="Y756" s="413"/>
      <c r="Z756" s="413"/>
    </row>
    <row r="757" ht="12.0" customHeight="1">
      <c r="A757" s="413"/>
      <c r="B757" s="413"/>
      <c r="C757" s="414"/>
      <c r="D757" s="414"/>
      <c r="E757" s="414"/>
      <c r="F757" s="414"/>
      <c r="G757" s="413"/>
      <c r="H757" s="413"/>
      <c r="I757" s="413"/>
      <c r="J757" s="413"/>
      <c r="K757" s="413"/>
      <c r="L757" s="413"/>
      <c r="M757" s="413"/>
      <c r="N757" s="413"/>
      <c r="O757" s="413"/>
      <c r="P757" s="413"/>
      <c r="Q757" s="413"/>
      <c r="R757" s="413"/>
      <c r="S757" s="413"/>
      <c r="T757" s="413"/>
      <c r="U757" s="413"/>
      <c r="V757" s="413"/>
      <c r="W757" s="413"/>
      <c r="X757" s="413"/>
      <c r="Y757" s="413"/>
      <c r="Z757" s="413"/>
    </row>
    <row r="758" ht="12.0" customHeight="1">
      <c r="A758" s="413"/>
      <c r="B758" s="413"/>
      <c r="C758" s="414"/>
      <c r="D758" s="414"/>
      <c r="E758" s="414"/>
      <c r="F758" s="414"/>
      <c r="G758" s="413"/>
      <c r="H758" s="413"/>
      <c r="I758" s="413"/>
      <c r="J758" s="413"/>
      <c r="K758" s="413"/>
      <c r="L758" s="413"/>
      <c r="M758" s="413"/>
      <c r="N758" s="413"/>
      <c r="O758" s="413"/>
      <c r="P758" s="413"/>
      <c r="Q758" s="413"/>
      <c r="R758" s="413"/>
      <c r="S758" s="413"/>
      <c r="T758" s="413"/>
      <c r="U758" s="413"/>
      <c r="V758" s="413"/>
      <c r="W758" s="413"/>
      <c r="X758" s="413"/>
      <c r="Y758" s="413"/>
      <c r="Z758" s="413"/>
    </row>
    <row r="759" ht="12.0" customHeight="1">
      <c r="A759" s="413"/>
      <c r="B759" s="413"/>
      <c r="C759" s="414"/>
      <c r="D759" s="414"/>
      <c r="E759" s="414"/>
      <c r="F759" s="414"/>
      <c r="G759" s="413"/>
      <c r="H759" s="413"/>
      <c r="I759" s="413"/>
      <c r="J759" s="413"/>
      <c r="K759" s="413"/>
      <c r="L759" s="413"/>
      <c r="M759" s="413"/>
      <c r="N759" s="413"/>
      <c r="O759" s="413"/>
      <c r="P759" s="413"/>
      <c r="Q759" s="413"/>
      <c r="R759" s="413"/>
      <c r="S759" s="413"/>
      <c r="T759" s="413"/>
      <c r="U759" s="413"/>
      <c r="V759" s="413"/>
      <c r="W759" s="413"/>
      <c r="X759" s="413"/>
      <c r="Y759" s="413"/>
      <c r="Z759" s="413"/>
    </row>
    <row r="760" ht="12.0" customHeight="1">
      <c r="A760" s="413"/>
      <c r="B760" s="413"/>
      <c r="C760" s="414"/>
      <c r="D760" s="414"/>
      <c r="E760" s="414"/>
      <c r="F760" s="414"/>
      <c r="G760" s="413"/>
      <c r="H760" s="413"/>
      <c r="I760" s="413"/>
      <c r="J760" s="413"/>
      <c r="K760" s="413"/>
      <c r="L760" s="413"/>
      <c r="M760" s="413"/>
      <c r="N760" s="413"/>
      <c r="O760" s="413"/>
      <c r="P760" s="413"/>
      <c r="Q760" s="413"/>
      <c r="R760" s="413"/>
      <c r="S760" s="413"/>
      <c r="T760" s="413"/>
      <c r="U760" s="413"/>
      <c r="V760" s="413"/>
      <c r="W760" s="413"/>
      <c r="X760" s="413"/>
      <c r="Y760" s="413"/>
      <c r="Z760" s="413"/>
    </row>
    <row r="761" ht="12.0" customHeight="1">
      <c r="A761" s="413"/>
      <c r="B761" s="413"/>
      <c r="C761" s="414"/>
      <c r="D761" s="414"/>
      <c r="E761" s="414"/>
      <c r="F761" s="414"/>
      <c r="G761" s="413"/>
      <c r="H761" s="413"/>
      <c r="I761" s="413"/>
      <c r="J761" s="413"/>
      <c r="K761" s="413"/>
      <c r="L761" s="413"/>
      <c r="M761" s="413"/>
      <c r="N761" s="413"/>
      <c r="O761" s="413"/>
      <c r="P761" s="413"/>
      <c r="Q761" s="413"/>
      <c r="R761" s="413"/>
      <c r="S761" s="413"/>
      <c r="T761" s="413"/>
      <c r="U761" s="413"/>
      <c r="V761" s="413"/>
      <c r="W761" s="413"/>
      <c r="X761" s="413"/>
      <c r="Y761" s="413"/>
      <c r="Z761" s="413"/>
    </row>
    <row r="762" ht="12.0" customHeight="1">
      <c r="A762" s="413"/>
      <c r="B762" s="413"/>
      <c r="C762" s="414"/>
      <c r="D762" s="414"/>
      <c r="E762" s="414"/>
      <c r="F762" s="414"/>
      <c r="G762" s="413"/>
      <c r="H762" s="413"/>
      <c r="I762" s="413"/>
      <c r="J762" s="413"/>
      <c r="K762" s="413"/>
      <c r="L762" s="413"/>
      <c r="M762" s="413"/>
      <c r="N762" s="413"/>
      <c r="O762" s="413"/>
      <c r="P762" s="413"/>
      <c r="Q762" s="413"/>
      <c r="R762" s="413"/>
      <c r="S762" s="413"/>
      <c r="T762" s="413"/>
      <c r="U762" s="413"/>
      <c r="V762" s="413"/>
      <c r="W762" s="413"/>
      <c r="X762" s="413"/>
      <c r="Y762" s="413"/>
      <c r="Z762" s="413"/>
    </row>
    <row r="763" ht="12.0" customHeight="1">
      <c r="A763" s="413"/>
      <c r="B763" s="413"/>
      <c r="C763" s="414"/>
      <c r="D763" s="414"/>
      <c r="E763" s="414"/>
      <c r="F763" s="414"/>
      <c r="G763" s="413"/>
      <c r="H763" s="413"/>
      <c r="I763" s="413"/>
      <c r="J763" s="413"/>
      <c r="K763" s="413"/>
      <c r="L763" s="413"/>
      <c r="M763" s="413"/>
      <c r="N763" s="413"/>
      <c r="O763" s="413"/>
      <c r="P763" s="413"/>
      <c r="Q763" s="413"/>
      <c r="R763" s="413"/>
      <c r="S763" s="413"/>
      <c r="T763" s="413"/>
      <c r="U763" s="413"/>
      <c r="V763" s="413"/>
      <c r="W763" s="413"/>
      <c r="X763" s="413"/>
      <c r="Y763" s="413"/>
      <c r="Z763" s="413"/>
    </row>
    <row r="764" ht="12.0" customHeight="1">
      <c r="A764" s="413"/>
      <c r="B764" s="413"/>
      <c r="C764" s="414"/>
      <c r="D764" s="414"/>
      <c r="E764" s="414"/>
      <c r="F764" s="414"/>
      <c r="G764" s="413"/>
      <c r="H764" s="413"/>
      <c r="I764" s="413"/>
      <c r="J764" s="413"/>
      <c r="K764" s="413"/>
      <c r="L764" s="413"/>
      <c r="M764" s="413"/>
      <c r="N764" s="413"/>
      <c r="O764" s="413"/>
      <c r="P764" s="413"/>
      <c r="Q764" s="413"/>
      <c r="R764" s="413"/>
      <c r="S764" s="413"/>
      <c r="T764" s="413"/>
      <c r="U764" s="413"/>
      <c r="V764" s="413"/>
      <c r="W764" s="413"/>
      <c r="X764" s="413"/>
      <c r="Y764" s="413"/>
      <c r="Z764" s="413"/>
    </row>
    <row r="765" ht="12.0" customHeight="1">
      <c r="A765" s="413"/>
      <c r="B765" s="413"/>
      <c r="C765" s="414"/>
      <c r="D765" s="414"/>
      <c r="E765" s="414"/>
      <c r="F765" s="414"/>
      <c r="G765" s="413"/>
      <c r="H765" s="413"/>
      <c r="I765" s="413"/>
      <c r="J765" s="413"/>
      <c r="K765" s="413"/>
      <c r="L765" s="413"/>
      <c r="M765" s="413"/>
      <c r="N765" s="413"/>
      <c r="O765" s="413"/>
      <c r="P765" s="413"/>
      <c r="Q765" s="413"/>
      <c r="R765" s="413"/>
      <c r="S765" s="413"/>
      <c r="T765" s="413"/>
      <c r="U765" s="413"/>
      <c r="V765" s="413"/>
      <c r="W765" s="413"/>
      <c r="X765" s="413"/>
      <c r="Y765" s="413"/>
      <c r="Z765" s="413"/>
    </row>
    <row r="766" ht="12.0" customHeight="1">
      <c r="A766" s="413"/>
      <c r="B766" s="413"/>
      <c r="C766" s="414"/>
      <c r="D766" s="414"/>
      <c r="E766" s="414"/>
      <c r="F766" s="414"/>
      <c r="G766" s="413"/>
      <c r="H766" s="413"/>
      <c r="I766" s="413"/>
      <c r="J766" s="413"/>
      <c r="K766" s="413"/>
      <c r="L766" s="413"/>
      <c r="M766" s="413"/>
      <c r="N766" s="413"/>
      <c r="O766" s="413"/>
      <c r="P766" s="413"/>
      <c r="Q766" s="413"/>
      <c r="R766" s="413"/>
      <c r="S766" s="413"/>
      <c r="T766" s="413"/>
      <c r="U766" s="413"/>
      <c r="V766" s="413"/>
      <c r="W766" s="413"/>
      <c r="X766" s="413"/>
      <c r="Y766" s="413"/>
      <c r="Z766" s="413"/>
    </row>
    <row r="767" ht="12.0" customHeight="1">
      <c r="A767" s="413"/>
      <c r="B767" s="413"/>
      <c r="C767" s="414"/>
      <c r="D767" s="414"/>
      <c r="E767" s="414"/>
      <c r="F767" s="414"/>
      <c r="G767" s="413"/>
      <c r="H767" s="413"/>
      <c r="I767" s="413"/>
      <c r="J767" s="413"/>
      <c r="K767" s="413"/>
      <c r="L767" s="413"/>
      <c r="M767" s="413"/>
      <c r="N767" s="413"/>
      <c r="O767" s="413"/>
      <c r="P767" s="413"/>
      <c r="Q767" s="413"/>
      <c r="R767" s="413"/>
      <c r="S767" s="413"/>
      <c r="T767" s="413"/>
      <c r="U767" s="413"/>
      <c r="V767" s="413"/>
      <c r="W767" s="413"/>
      <c r="X767" s="413"/>
      <c r="Y767" s="413"/>
      <c r="Z767" s="413"/>
    </row>
    <row r="768" ht="12.0" customHeight="1">
      <c r="A768" s="413"/>
      <c r="B768" s="413"/>
      <c r="C768" s="414"/>
      <c r="D768" s="414"/>
      <c r="E768" s="414"/>
      <c r="F768" s="414"/>
      <c r="G768" s="413"/>
      <c r="H768" s="413"/>
      <c r="I768" s="413"/>
      <c r="J768" s="413"/>
      <c r="K768" s="413"/>
      <c r="L768" s="413"/>
      <c r="M768" s="413"/>
      <c r="N768" s="413"/>
      <c r="O768" s="413"/>
      <c r="P768" s="413"/>
      <c r="Q768" s="413"/>
      <c r="R768" s="413"/>
      <c r="S768" s="413"/>
      <c r="T768" s="413"/>
      <c r="U768" s="413"/>
      <c r="V768" s="413"/>
      <c r="W768" s="413"/>
      <c r="X768" s="413"/>
      <c r="Y768" s="413"/>
      <c r="Z768" s="413"/>
    </row>
    <row r="769" ht="12.0" customHeight="1">
      <c r="A769" s="413"/>
      <c r="B769" s="413"/>
      <c r="C769" s="414"/>
      <c r="D769" s="414"/>
      <c r="E769" s="414"/>
      <c r="F769" s="414"/>
      <c r="G769" s="413"/>
      <c r="H769" s="413"/>
      <c r="I769" s="413"/>
      <c r="J769" s="413"/>
      <c r="K769" s="413"/>
      <c r="L769" s="413"/>
      <c r="M769" s="413"/>
      <c r="N769" s="413"/>
      <c r="O769" s="413"/>
      <c r="P769" s="413"/>
      <c r="Q769" s="413"/>
      <c r="R769" s="413"/>
      <c r="S769" s="413"/>
      <c r="T769" s="413"/>
      <c r="U769" s="413"/>
      <c r="V769" s="413"/>
      <c r="W769" s="413"/>
      <c r="X769" s="413"/>
      <c r="Y769" s="413"/>
      <c r="Z769" s="413"/>
    </row>
    <row r="770" ht="12.0" customHeight="1">
      <c r="A770" s="413"/>
      <c r="B770" s="413"/>
      <c r="C770" s="414"/>
      <c r="D770" s="414"/>
      <c r="E770" s="414"/>
      <c r="F770" s="414"/>
      <c r="G770" s="413"/>
      <c r="H770" s="413"/>
      <c r="I770" s="413"/>
      <c r="J770" s="413"/>
      <c r="K770" s="413"/>
      <c r="L770" s="413"/>
      <c r="M770" s="413"/>
      <c r="N770" s="413"/>
      <c r="O770" s="413"/>
      <c r="P770" s="413"/>
      <c r="Q770" s="413"/>
      <c r="R770" s="413"/>
      <c r="S770" s="413"/>
      <c r="T770" s="413"/>
      <c r="U770" s="413"/>
      <c r="V770" s="413"/>
      <c r="W770" s="413"/>
      <c r="X770" s="413"/>
      <c r="Y770" s="413"/>
      <c r="Z770" s="413"/>
    </row>
    <row r="771" ht="12.0" customHeight="1">
      <c r="A771" s="413"/>
      <c r="B771" s="413"/>
      <c r="C771" s="414"/>
      <c r="D771" s="414"/>
      <c r="E771" s="414"/>
      <c r="F771" s="414"/>
      <c r="G771" s="413"/>
      <c r="H771" s="413"/>
      <c r="I771" s="413"/>
      <c r="J771" s="413"/>
      <c r="K771" s="413"/>
      <c r="L771" s="413"/>
      <c r="M771" s="413"/>
      <c r="N771" s="413"/>
      <c r="O771" s="413"/>
      <c r="P771" s="413"/>
      <c r="Q771" s="413"/>
      <c r="R771" s="413"/>
      <c r="S771" s="413"/>
      <c r="T771" s="413"/>
      <c r="U771" s="413"/>
      <c r="V771" s="413"/>
      <c r="W771" s="413"/>
      <c r="X771" s="413"/>
      <c r="Y771" s="413"/>
      <c r="Z771" s="413"/>
    </row>
    <row r="772" ht="12.0" customHeight="1">
      <c r="A772" s="413"/>
      <c r="B772" s="413"/>
      <c r="C772" s="414"/>
      <c r="D772" s="414"/>
      <c r="E772" s="414"/>
      <c r="F772" s="414"/>
      <c r="G772" s="413"/>
      <c r="H772" s="413"/>
      <c r="I772" s="413"/>
      <c r="J772" s="413"/>
      <c r="K772" s="413"/>
      <c r="L772" s="413"/>
      <c r="M772" s="413"/>
      <c r="N772" s="413"/>
      <c r="O772" s="413"/>
      <c r="P772" s="413"/>
      <c r="Q772" s="413"/>
      <c r="R772" s="413"/>
      <c r="S772" s="413"/>
      <c r="T772" s="413"/>
      <c r="U772" s="413"/>
      <c r="V772" s="413"/>
      <c r="W772" s="413"/>
      <c r="X772" s="413"/>
      <c r="Y772" s="413"/>
      <c r="Z772" s="413"/>
    </row>
    <row r="773" ht="12.0" customHeight="1">
      <c r="A773" s="413"/>
      <c r="B773" s="413"/>
      <c r="C773" s="414"/>
      <c r="D773" s="414"/>
      <c r="E773" s="414"/>
      <c r="F773" s="414"/>
      <c r="G773" s="413"/>
      <c r="H773" s="413"/>
      <c r="I773" s="413"/>
      <c r="J773" s="413"/>
      <c r="K773" s="413"/>
      <c r="L773" s="413"/>
      <c r="M773" s="413"/>
      <c r="N773" s="413"/>
      <c r="O773" s="413"/>
      <c r="P773" s="413"/>
      <c r="Q773" s="413"/>
      <c r="R773" s="413"/>
      <c r="S773" s="413"/>
      <c r="T773" s="413"/>
      <c r="U773" s="413"/>
      <c r="V773" s="413"/>
      <c r="W773" s="413"/>
      <c r="X773" s="413"/>
      <c r="Y773" s="413"/>
      <c r="Z773" s="413"/>
    </row>
    <row r="774" ht="12.0" customHeight="1">
      <c r="A774" s="413"/>
      <c r="B774" s="413"/>
      <c r="C774" s="414"/>
      <c r="D774" s="414"/>
      <c r="E774" s="414"/>
      <c r="F774" s="414"/>
      <c r="G774" s="413"/>
      <c r="H774" s="413"/>
      <c r="I774" s="413"/>
      <c r="J774" s="413"/>
      <c r="K774" s="413"/>
      <c r="L774" s="413"/>
      <c r="M774" s="413"/>
      <c r="N774" s="413"/>
      <c r="O774" s="413"/>
      <c r="P774" s="413"/>
      <c r="Q774" s="413"/>
      <c r="R774" s="413"/>
      <c r="S774" s="413"/>
      <c r="T774" s="413"/>
      <c r="U774" s="413"/>
      <c r="V774" s="413"/>
      <c r="W774" s="413"/>
      <c r="X774" s="413"/>
      <c r="Y774" s="413"/>
      <c r="Z774" s="413"/>
    </row>
    <row r="775" ht="12.0" customHeight="1">
      <c r="A775" s="413"/>
      <c r="B775" s="413"/>
      <c r="C775" s="414"/>
      <c r="D775" s="414"/>
      <c r="E775" s="414"/>
      <c r="F775" s="414"/>
      <c r="G775" s="413"/>
      <c r="H775" s="413"/>
      <c r="I775" s="413"/>
      <c r="J775" s="413"/>
      <c r="K775" s="413"/>
      <c r="L775" s="413"/>
      <c r="M775" s="413"/>
      <c r="N775" s="413"/>
      <c r="O775" s="413"/>
      <c r="P775" s="413"/>
      <c r="Q775" s="413"/>
      <c r="R775" s="413"/>
      <c r="S775" s="413"/>
      <c r="T775" s="413"/>
      <c r="U775" s="413"/>
      <c r="V775" s="413"/>
      <c r="W775" s="413"/>
      <c r="X775" s="413"/>
      <c r="Y775" s="413"/>
      <c r="Z775" s="413"/>
    </row>
    <row r="776" ht="12.0" customHeight="1">
      <c r="A776" s="413"/>
      <c r="B776" s="413"/>
      <c r="C776" s="414"/>
      <c r="D776" s="414"/>
      <c r="E776" s="414"/>
      <c r="F776" s="414"/>
      <c r="G776" s="413"/>
      <c r="H776" s="413"/>
      <c r="I776" s="413"/>
      <c r="J776" s="413"/>
      <c r="K776" s="413"/>
      <c r="L776" s="413"/>
      <c r="M776" s="413"/>
      <c r="N776" s="413"/>
      <c r="O776" s="413"/>
      <c r="P776" s="413"/>
      <c r="Q776" s="413"/>
      <c r="R776" s="413"/>
      <c r="S776" s="413"/>
      <c r="T776" s="413"/>
      <c r="U776" s="413"/>
      <c r="V776" s="413"/>
      <c r="W776" s="413"/>
      <c r="X776" s="413"/>
      <c r="Y776" s="413"/>
      <c r="Z776" s="413"/>
    </row>
    <row r="777" ht="12.0" customHeight="1">
      <c r="A777" s="413"/>
      <c r="B777" s="413"/>
      <c r="C777" s="414"/>
      <c r="D777" s="414"/>
      <c r="E777" s="414"/>
      <c r="F777" s="414"/>
      <c r="G777" s="413"/>
      <c r="H777" s="413"/>
      <c r="I777" s="413"/>
      <c r="J777" s="413"/>
      <c r="K777" s="413"/>
      <c r="L777" s="413"/>
      <c r="M777" s="413"/>
      <c r="N777" s="413"/>
      <c r="O777" s="413"/>
      <c r="P777" s="413"/>
      <c r="Q777" s="413"/>
      <c r="R777" s="413"/>
      <c r="S777" s="413"/>
      <c r="T777" s="413"/>
      <c r="U777" s="413"/>
      <c r="V777" s="413"/>
      <c r="W777" s="413"/>
      <c r="X777" s="413"/>
      <c r="Y777" s="413"/>
      <c r="Z777" s="413"/>
    </row>
    <row r="778" ht="12.0" customHeight="1">
      <c r="A778" s="413"/>
      <c r="B778" s="413"/>
      <c r="C778" s="414"/>
      <c r="D778" s="414"/>
      <c r="E778" s="414"/>
      <c r="F778" s="414"/>
      <c r="G778" s="413"/>
      <c r="H778" s="413"/>
      <c r="I778" s="413"/>
      <c r="J778" s="413"/>
      <c r="K778" s="413"/>
      <c r="L778" s="413"/>
      <c r="M778" s="413"/>
      <c r="N778" s="413"/>
      <c r="O778" s="413"/>
      <c r="P778" s="413"/>
      <c r="Q778" s="413"/>
      <c r="R778" s="413"/>
      <c r="S778" s="413"/>
      <c r="T778" s="413"/>
      <c r="U778" s="413"/>
      <c r="V778" s="413"/>
      <c r="W778" s="413"/>
      <c r="X778" s="413"/>
      <c r="Y778" s="413"/>
      <c r="Z778" s="413"/>
    </row>
    <row r="779" ht="12.0" customHeight="1">
      <c r="A779" s="413"/>
      <c r="B779" s="413"/>
      <c r="C779" s="414"/>
      <c r="D779" s="414"/>
      <c r="E779" s="414"/>
      <c r="F779" s="414"/>
      <c r="G779" s="413"/>
      <c r="H779" s="413"/>
      <c r="I779" s="413"/>
      <c r="J779" s="413"/>
      <c r="K779" s="413"/>
      <c r="L779" s="413"/>
      <c r="M779" s="413"/>
      <c r="N779" s="413"/>
      <c r="O779" s="413"/>
      <c r="P779" s="413"/>
      <c r="Q779" s="413"/>
      <c r="R779" s="413"/>
      <c r="S779" s="413"/>
      <c r="T779" s="413"/>
      <c r="U779" s="413"/>
      <c r="V779" s="413"/>
      <c r="W779" s="413"/>
      <c r="X779" s="413"/>
      <c r="Y779" s="413"/>
      <c r="Z779" s="413"/>
    </row>
    <row r="780" ht="12.0" customHeight="1">
      <c r="A780" s="413"/>
      <c r="B780" s="413"/>
      <c r="C780" s="414"/>
      <c r="D780" s="414"/>
      <c r="E780" s="414"/>
      <c r="F780" s="414"/>
      <c r="G780" s="413"/>
      <c r="H780" s="413"/>
      <c r="I780" s="413"/>
      <c r="J780" s="413"/>
      <c r="K780" s="413"/>
      <c r="L780" s="413"/>
      <c r="M780" s="413"/>
      <c r="N780" s="413"/>
      <c r="O780" s="413"/>
      <c r="P780" s="413"/>
      <c r="Q780" s="413"/>
      <c r="R780" s="413"/>
      <c r="S780" s="413"/>
      <c r="T780" s="413"/>
      <c r="U780" s="413"/>
      <c r="V780" s="413"/>
      <c r="W780" s="413"/>
      <c r="X780" s="413"/>
      <c r="Y780" s="413"/>
      <c r="Z780" s="413"/>
    </row>
    <row r="781" ht="12.0" customHeight="1">
      <c r="A781" s="413"/>
      <c r="B781" s="413"/>
      <c r="C781" s="414"/>
      <c r="D781" s="414"/>
      <c r="E781" s="414"/>
      <c r="F781" s="414"/>
      <c r="G781" s="413"/>
      <c r="H781" s="413"/>
      <c r="I781" s="413"/>
      <c r="J781" s="413"/>
      <c r="K781" s="413"/>
      <c r="L781" s="413"/>
      <c r="M781" s="413"/>
      <c r="N781" s="413"/>
      <c r="O781" s="413"/>
      <c r="P781" s="413"/>
      <c r="Q781" s="413"/>
      <c r="R781" s="413"/>
      <c r="S781" s="413"/>
      <c r="T781" s="413"/>
      <c r="U781" s="413"/>
      <c r="V781" s="413"/>
      <c r="W781" s="413"/>
      <c r="X781" s="413"/>
      <c r="Y781" s="413"/>
      <c r="Z781" s="413"/>
    </row>
    <row r="782" ht="12.0" customHeight="1">
      <c r="A782" s="413"/>
      <c r="B782" s="413"/>
      <c r="C782" s="414"/>
      <c r="D782" s="414"/>
      <c r="E782" s="414"/>
      <c r="F782" s="414"/>
      <c r="G782" s="413"/>
      <c r="H782" s="413"/>
      <c r="I782" s="413"/>
      <c r="J782" s="413"/>
      <c r="K782" s="413"/>
      <c r="L782" s="413"/>
      <c r="M782" s="413"/>
      <c r="N782" s="413"/>
      <c r="O782" s="413"/>
      <c r="P782" s="413"/>
      <c r="Q782" s="413"/>
      <c r="R782" s="413"/>
      <c r="S782" s="413"/>
      <c r="T782" s="413"/>
      <c r="U782" s="413"/>
      <c r="V782" s="413"/>
      <c r="W782" s="413"/>
      <c r="X782" s="413"/>
      <c r="Y782" s="413"/>
      <c r="Z782" s="413"/>
    </row>
    <row r="783" ht="12.0" customHeight="1">
      <c r="A783" s="413"/>
      <c r="B783" s="413"/>
      <c r="C783" s="414"/>
      <c r="D783" s="414"/>
      <c r="E783" s="414"/>
      <c r="F783" s="414"/>
      <c r="G783" s="413"/>
      <c r="H783" s="413"/>
      <c r="I783" s="413"/>
      <c r="J783" s="413"/>
      <c r="K783" s="413"/>
      <c r="L783" s="413"/>
      <c r="M783" s="413"/>
      <c r="N783" s="413"/>
      <c r="O783" s="413"/>
      <c r="P783" s="413"/>
      <c r="Q783" s="413"/>
      <c r="R783" s="413"/>
      <c r="S783" s="413"/>
      <c r="T783" s="413"/>
      <c r="U783" s="413"/>
      <c r="V783" s="413"/>
      <c r="W783" s="413"/>
      <c r="X783" s="413"/>
      <c r="Y783" s="413"/>
      <c r="Z783" s="413"/>
    </row>
    <row r="784" ht="12.0" customHeight="1">
      <c r="A784" s="413"/>
      <c r="B784" s="413"/>
      <c r="C784" s="414"/>
      <c r="D784" s="414"/>
      <c r="E784" s="414"/>
      <c r="F784" s="414"/>
      <c r="G784" s="413"/>
      <c r="H784" s="413"/>
      <c r="I784" s="413"/>
      <c r="J784" s="413"/>
      <c r="K784" s="413"/>
      <c r="L784" s="413"/>
      <c r="M784" s="413"/>
      <c r="N784" s="413"/>
      <c r="O784" s="413"/>
      <c r="P784" s="413"/>
      <c r="Q784" s="413"/>
      <c r="R784" s="413"/>
      <c r="S784" s="413"/>
      <c r="T784" s="413"/>
      <c r="U784" s="413"/>
      <c r="V784" s="413"/>
      <c r="W784" s="413"/>
      <c r="X784" s="413"/>
      <c r="Y784" s="413"/>
      <c r="Z784" s="413"/>
    </row>
    <row r="785" ht="12.0" customHeight="1">
      <c r="A785" s="413"/>
      <c r="B785" s="413"/>
      <c r="C785" s="414"/>
      <c r="D785" s="414"/>
      <c r="E785" s="414"/>
      <c r="F785" s="414"/>
      <c r="G785" s="413"/>
      <c r="H785" s="413"/>
      <c r="I785" s="413"/>
      <c r="J785" s="413"/>
      <c r="K785" s="413"/>
      <c r="L785" s="413"/>
      <c r="M785" s="413"/>
      <c r="N785" s="413"/>
      <c r="O785" s="413"/>
      <c r="P785" s="413"/>
      <c r="Q785" s="413"/>
      <c r="R785" s="413"/>
      <c r="S785" s="413"/>
      <c r="T785" s="413"/>
      <c r="U785" s="413"/>
      <c r="V785" s="413"/>
      <c r="W785" s="413"/>
      <c r="X785" s="413"/>
      <c r="Y785" s="413"/>
      <c r="Z785" s="413"/>
    </row>
    <row r="786" ht="12.0" customHeight="1">
      <c r="A786" s="413"/>
      <c r="B786" s="413"/>
      <c r="C786" s="414"/>
      <c r="D786" s="414"/>
      <c r="E786" s="414"/>
      <c r="F786" s="414"/>
      <c r="G786" s="413"/>
      <c r="H786" s="413"/>
      <c r="I786" s="413"/>
      <c r="J786" s="413"/>
      <c r="K786" s="413"/>
      <c r="L786" s="413"/>
      <c r="M786" s="413"/>
      <c r="N786" s="413"/>
      <c r="O786" s="413"/>
      <c r="P786" s="413"/>
      <c r="Q786" s="413"/>
      <c r="R786" s="413"/>
      <c r="S786" s="413"/>
      <c r="T786" s="413"/>
      <c r="U786" s="413"/>
      <c r="V786" s="413"/>
      <c r="W786" s="413"/>
      <c r="X786" s="413"/>
      <c r="Y786" s="413"/>
      <c r="Z786" s="413"/>
    </row>
    <row r="787" ht="12.0" customHeight="1">
      <c r="A787" s="413"/>
      <c r="B787" s="413"/>
      <c r="C787" s="414"/>
      <c r="D787" s="414"/>
      <c r="E787" s="414"/>
      <c r="F787" s="414"/>
      <c r="G787" s="413"/>
      <c r="H787" s="413"/>
      <c r="I787" s="413"/>
      <c r="J787" s="413"/>
      <c r="K787" s="413"/>
      <c r="L787" s="413"/>
      <c r="M787" s="413"/>
      <c r="N787" s="413"/>
      <c r="O787" s="413"/>
      <c r="P787" s="413"/>
      <c r="Q787" s="413"/>
      <c r="R787" s="413"/>
      <c r="S787" s="413"/>
      <c r="T787" s="413"/>
      <c r="U787" s="413"/>
      <c r="V787" s="413"/>
      <c r="W787" s="413"/>
      <c r="X787" s="413"/>
      <c r="Y787" s="413"/>
      <c r="Z787" s="413"/>
    </row>
    <row r="788" ht="12.0" customHeight="1">
      <c r="A788" s="413"/>
      <c r="B788" s="413"/>
      <c r="C788" s="414"/>
      <c r="D788" s="414"/>
      <c r="E788" s="414"/>
      <c r="F788" s="414"/>
      <c r="G788" s="413"/>
      <c r="H788" s="413"/>
      <c r="I788" s="413"/>
      <c r="J788" s="413"/>
      <c r="K788" s="413"/>
      <c r="L788" s="413"/>
      <c r="M788" s="413"/>
      <c r="N788" s="413"/>
      <c r="O788" s="413"/>
      <c r="P788" s="413"/>
      <c r="Q788" s="413"/>
      <c r="R788" s="413"/>
      <c r="S788" s="413"/>
      <c r="T788" s="413"/>
      <c r="U788" s="413"/>
      <c r="V788" s="413"/>
      <c r="W788" s="413"/>
      <c r="X788" s="413"/>
      <c r="Y788" s="413"/>
      <c r="Z788" s="413"/>
    </row>
    <row r="789" ht="12.0" customHeight="1">
      <c r="A789" s="413"/>
      <c r="B789" s="413"/>
      <c r="C789" s="414"/>
      <c r="D789" s="414"/>
      <c r="E789" s="414"/>
      <c r="F789" s="414"/>
      <c r="G789" s="413"/>
      <c r="H789" s="413"/>
      <c r="I789" s="413"/>
      <c r="J789" s="413"/>
      <c r="K789" s="413"/>
      <c r="L789" s="413"/>
      <c r="M789" s="413"/>
      <c r="N789" s="413"/>
      <c r="O789" s="413"/>
      <c r="P789" s="413"/>
      <c r="Q789" s="413"/>
      <c r="R789" s="413"/>
      <c r="S789" s="413"/>
      <c r="T789" s="413"/>
      <c r="U789" s="413"/>
      <c r="V789" s="413"/>
      <c r="W789" s="413"/>
      <c r="X789" s="413"/>
      <c r="Y789" s="413"/>
      <c r="Z789" s="413"/>
    </row>
    <row r="790" ht="12.0" customHeight="1">
      <c r="A790" s="413"/>
      <c r="B790" s="413"/>
      <c r="C790" s="414"/>
      <c r="D790" s="414"/>
      <c r="E790" s="414"/>
      <c r="F790" s="414"/>
      <c r="G790" s="413"/>
      <c r="H790" s="413"/>
      <c r="I790" s="413"/>
      <c r="J790" s="413"/>
      <c r="K790" s="413"/>
      <c r="L790" s="413"/>
      <c r="M790" s="413"/>
      <c r="N790" s="413"/>
      <c r="O790" s="413"/>
      <c r="P790" s="413"/>
      <c r="Q790" s="413"/>
      <c r="R790" s="413"/>
      <c r="S790" s="413"/>
      <c r="T790" s="413"/>
      <c r="U790" s="413"/>
      <c r="V790" s="413"/>
      <c r="W790" s="413"/>
      <c r="X790" s="413"/>
      <c r="Y790" s="413"/>
      <c r="Z790" s="413"/>
    </row>
    <row r="791" ht="12.0" customHeight="1">
      <c r="A791" s="413"/>
      <c r="B791" s="413"/>
      <c r="C791" s="414"/>
      <c r="D791" s="414"/>
      <c r="E791" s="414"/>
      <c r="F791" s="414"/>
      <c r="G791" s="413"/>
      <c r="H791" s="413"/>
      <c r="I791" s="413"/>
      <c r="J791" s="413"/>
      <c r="K791" s="413"/>
      <c r="L791" s="413"/>
      <c r="M791" s="413"/>
      <c r="N791" s="413"/>
      <c r="O791" s="413"/>
      <c r="P791" s="413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</row>
    <row r="792" ht="12.0" customHeight="1">
      <c r="A792" s="413"/>
      <c r="B792" s="413"/>
      <c r="C792" s="414"/>
      <c r="D792" s="414"/>
      <c r="E792" s="414"/>
      <c r="F792" s="414"/>
      <c r="G792" s="413"/>
      <c r="H792" s="413"/>
      <c r="I792" s="413"/>
      <c r="J792" s="413"/>
      <c r="K792" s="413"/>
      <c r="L792" s="413"/>
      <c r="M792" s="413"/>
      <c r="N792" s="413"/>
      <c r="O792" s="413"/>
      <c r="P792" s="413"/>
      <c r="Q792" s="413"/>
      <c r="R792" s="413"/>
      <c r="S792" s="413"/>
      <c r="T792" s="413"/>
      <c r="U792" s="413"/>
      <c r="V792" s="413"/>
      <c r="W792" s="413"/>
      <c r="X792" s="413"/>
      <c r="Y792" s="413"/>
      <c r="Z792" s="413"/>
    </row>
    <row r="793" ht="12.0" customHeight="1">
      <c r="A793" s="413"/>
      <c r="B793" s="413"/>
      <c r="C793" s="414"/>
      <c r="D793" s="414"/>
      <c r="E793" s="414"/>
      <c r="F793" s="414"/>
      <c r="G793" s="413"/>
      <c r="H793" s="413"/>
      <c r="I793" s="413"/>
      <c r="J793" s="413"/>
      <c r="K793" s="413"/>
      <c r="L793" s="413"/>
      <c r="M793" s="413"/>
      <c r="N793" s="413"/>
      <c r="O793" s="413"/>
      <c r="P793" s="413"/>
      <c r="Q793" s="413"/>
      <c r="R793" s="413"/>
      <c r="S793" s="413"/>
      <c r="T793" s="413"/>
      <c r="U793" s="413"/>
      <c r="V793" s="413"/>
      <c r="W793" s="413"/>
      <c r="X793" s="413"/>
      <c r="Y793" s="413"/>
      <c r="Z793" s="413"/>
    </row>
    <row r="794" ht="12.0" customHeight="1">
      <c r="A794" s="413"/>
      <c r="B794" s="413"/>
      <c r="C794" s="414"/>
      <c r="D794" s="414"/>
      <c r="E794" s="414"/>
      <c r="F794" s="414"/>
      <c r="G794" s="413"/>
      <c r="H794" s="413"/>
      <c r="I794" s="413"/>
      <c r="J794" s="413"/>
      <c r="K794" s="413"/>
      <c r="L794" s="413"/>
      <c r="M794" s="413"/>
      <c r="N794" s="413"/>
      <c r="O794" s="413"/>
      <c r="P794" s="413"/>
      <c r="Q794" s="413"/>
      <c r="R794" s="413"/>
      <c r="S794" s="413"/>
      <c r="T794" s="413"/>
      <c r="U794" s="413"/>
      <c r="V794" s="413"/>
      <c r="W794" s="413"/>
      <c r="X794" s="413"/>
      <c r="Y794" s="413"/>
      <c r="Z794" s="413"/>
    </row>
    <row r="795" ht="12.0" customHeight="1">
      <c r="A795" s="413"/>
      <c r="B795" s="413"/>
      <c r="C795" s="414"/>
      <c r="D795" s="414"/>
      <c r="E795" s="414"/>
      <c r="F795" s="414"/>
      <c r="G795" s="413"/>
      <c r="H795" s="413"/>
      <c r="I795" s="413"/>
      <c r="J795" s="413"/>
      <c r="K795" s="413"/>
      <c r="L795" s="413"/>
      <c r="M795" s="413"/>
      <c r="N795" s="413"/>
      <c r="O795" s="413"/>
      <c r="P795" s="413"/>
      <c r="Q795" s="413"/>
      <c r="R795" s="413"/>
      <c r="S795" s="413"/>
      <c r="T795" s="413"/>
      <c r="U795" s="413"/>
      <c r="V795" s="413"/>
      <c r="W795" s="413"/>
      <c r="X795" s="413"/>
      <c r="Y795" s="413"/>
      <c r="Z795" s="413"/>
    </row>
    <row r="796" ht="12.0" customHeight="1">
      <c r="A796" s="413"/>
      <c r="B796" s="413"/>
      <c r="C796" s="414"/>
      <c r="D796" s="414"/>
      <c r="E796" s="414"/>
      <c r="F796" s="414"/>
      <c r="G796" s="413"/>
      <c r="H796" s="413"/>
      <c r="I796" s="413"/>
      <c r="J796" s="413"/>
      <c r="K796" s="413"/>
      <c r="L796" s="413"/>
      <c r="M796" s="413"/>
      <c r="N796" s="413"/>
      <c r="O796" s="413"/>
      <c r="P796" s="413"/>
      <c r="Q796" s="413"/>
      <c r="R796" s="413"/>
      <c r="S796" s="413"/>
      <c r="T796" s="413"/>
      <c r="U796" s="413"/>
      <c r="V796" s="413"/>
      <c r="W796" s="413"/>
      <c r="X796" s="413"/>
      <c r="Y796" s="413"/>
      <c r="Z796" s="413"/>
    </row>
    <row r="797" ht="12.0" customHeight="1">
      <c r="A797" s="413"/>
      <c r="B797" s="413"/>
      <c r="C797" s="414"/>
      <c r="D797" s="414"/>
      <c r="E797" s="414"/>
      <c r="F797" s="414"/>
      <c r="G797" s="413"/>
      <c r="H797" s="413"/>
      <c r="I797" s="413"/>
      <c r="J797" s="413"/>
      <c r="K797" s="413"/>
      <c r="L797" s="413"/>
      <c r="M797" s="413"/>
      <c r="N797" s="413"/>
      <c r="O797" s="413"/>
      <c r="P797" s="413"/>
      <c r="Q797" s="413"/>
      <c r="R797" s="413"/>
      <c r="S797" s="413"/>
      <c r="T797" s="413"/>
      <c r="U797" s="413"/>
      <c r="V797" s="413"/>
      <c r="W797" s="413"/>
      <c r="X797" s="413"/>
      <c r="Y797" s="413"/>
      <c r="Z797" s="413"/>
    </row>
    <row r="798" ht="12.0" customHeight="1">
      <c r="A798" s="413"/>
      <c r="B798" s="413"/>
      <c r="C798" s="414"/>
      <c r="D798" s="414"/>
      <c r="E798" s="414"/>
      <c r="F798" s="414"/>
      <c r="G798" s="413"/>
      <c r="H798" s="413"/>
      <c r="I798" s="413"/>
      <c r="J798" s="413"/>
      <c r="K798" s="413"/>
      <c r="L798" s="413"/>
      <c r="M798" s="413"/>
      <c r="N798" s="413"/>
      <c r="O798" s="413"/>
      <c r="P798" s="413"/>
      <c r="Q798" s="413"/>
      <c r="R798" s="413"/>
      <c r="S798" s="413"/>
      <c r="T798" s="413"/>
      <c r="U798" s="413"/>
      <c r="V798" s="413"/>
      <c r="W798" s="413"/>
      <c r="X798" s="413"/>
      <c r="Y798" s="413"/>
      <c r="Z798" s="413"/>
    </row>
    <row r="799" ht="12.0" customHeight="1">
      <c r="A799" s="413"/>
      <c r="B799" s="413"/>
      <c r="C799" s="414"/>
      <c r="D799" s="414"/>
      <c r="E799" s="414"/>
      <c r="F799" s="414"/>
      <c r="G799" s="413"/>
      <c r="H799" s="413"/>
      <c r="I799" s="413"/>
      <c r="J799" s="413"/>
      <c r="K799" s="413"/>
      <c r="L799" s="413"/>
      <c r="M799" s="413"/>
      <c r="N799" s="413"/>
      <c r="O799" s="413"/>
      <c r="P799" s="413"/>
      <c r="Q799" s="413"/>
      <c r="R799" s="413"/>
      <c r="S799" s="413"/>
      <c r="T799" s="413"/>
      <c r="U799" s="413"/>
      <c r="V799" s="413"/>
      <c r="W799" s="413"/>
      <c r="X799" s="413"/>
      <c r="Y799" s="413"/>
      <c r="Z799" s="413"/>
    </row>
    <row r="800" ht="12.0" customHeight="1">
      <c r="A800" s="413"/>
      <c r="B800" s="413"/>
      <c r="C800" s="414"/>
      <c r="D800" s="414"/>
      <c r="E800" s="414"/>
      <c r="F800" s="414"/>
      <c r="G800" s="413"/>
      <c r="H800" s="413"/>
      <c r="I800" s="413"/>
      <c r="J800" s="413"/>
      <c r="K800" s="413"/>
      <c r="L800" s="413"/>
      <c r="M800" s="413"/>
      <c r="N800" s="413"/>
      <c r="O800" s="413"/>
      <c r="P800" s="413"/>
      <c r="Q800" s="413"/>
      <c r="R800" s="413"/>
      <c r="S800" s="413"/>
      <c r="T800" s="413"/>
      <c r="U800" s="413"/>
      <c r="V800" s="413"/>
      <c r="W800" s="413"/>
      <c r="X800" s="413"/>
      <c r="Y800" s="413"/>
      <c r="Z800" s="413"/>
    </row>
    <row r="801" ht="12.0" customHeight="1">
      <c r="A801" s="413"/>
      <c r="B801" s="413"/>
      <c r="C801" s="414"/>
      <c r="D801" s="414"/>
      <c r="E801" s="414"/>
      <c r="F801" s="414"/>
      <c r="G801" s="413"/>
      <c r="H801" s="413"/>
      <c r="I801" s="413"/>
      <c r="J801" s="413"/>
      <c r="K801" s="413"/>
      <c r="L801" s="413"/>
      <c r="M801" s="413"/>
      <c r="N801" s="413"/>
      <c r="O801" s="413"/>
      <c r="P801" s="413"/>
      <c r="Q801" s="413"/>
      <c r="R801" s="413"/>
      <c r="S801" s="413"/>
      <c r="T801" s="413"/>
      <c r="U801" s="413"/>
      <c r="V801" s="413"/>
      <c r="W801" s="413"/>
      <c r="X801" s="413"/>
      <c r="Y801" s="413"/>
      <c r="Z801" s="413"/>
    </row>
    <row r="802" ht="12.0" customHeight="1">
      <c r="A802" s="413"/>
      <c r="B802" s="413"/>
      <c r="C802" s="414"/>
      <c r="D802" s="414"/>
      <c r="E802" s="414"/>
      <c r="F802" s="414"/>
      <c r="G802" s="413"/>
      <c r="H802" s="413"/>
      <c r="I802" s="413"/>
      <c r="J802" s="413"/>
      <c r="K802" s="413"/>
      <c r="L802" s="413"/>
      <c r="M802" s="413"/>
      <c r="N802" s="413"/>
      <c r="O802" s="413"/>
      <c r="P802" s="413"/>
      <c r="Q802" s="413"/>
      <c r="R802" s="413"/>
      <c r="S802" s="413"/>
      <c r="T802" s="413"/>
      <c r="U802" s="413"/>
      <c r="V802" s="413"/>
      <c r="W802" s="413"/>
      <c r="X802" s="413"/>
      <c r="Y802" s="413"/>
      <c r="Z802" s="413"/>
    </row>
    <row r="803" ht="12.0" customHeight="1">
      <c r="A803" s="413"/>
      <c r="B803" s="413"/>
      <c r="C803" s="414"/>
      <c r="D803" s="414"/>
      <c r="E803" s="414"/>
      <c r="F803" s="414"/>
      <c r="G803" s="413"/>
      <c r="H803" s="413"/>
      <c r="I803" s="413"/>
      <c r="J803" s="413"/>
      <c r="K803" s="413"/>
      <c r="L803" s="413"/>
      <c r="M803" s="413"/>
      <c r="N803" s="413"/>
      <c r="O803" s="413"/>
      <c r="P803" s="413"/>
      <c r="Q803" s="413"/>
      <c r="R803" s="413"/>
      <c r="S803" s="413"/>
      <c r="T803" s="413"/>
      <c r="U803" s="413"/>
      <c r="V803" s="413"/>
      <c r="W803" s="413"/>
      <c r="X803" s="413"/>
      <c r="Y803" s="413"/>
      <c r="Z803" s="413"/>
    </row>
    <row r="804" ht="12.0" customHeight="1">
      <c r="A804" s="413"/>
      <c r="B804" s="413"/>
      <c r="C804" s="414"/>
      <c r="D804" s="414"/>
      <c r="E804" s="414"/>
      <c r="F804" s="414"/>
      <c r="G804" s="413"/>
      <c r="H804" s="413"/>
      <c r="I804" s="413"/>
      <c r="J804" s="413"/>
      <c r="K804" s="413"/>
      <c r="L804" s="413"/>
      <c r="M804" s="413"/>
      <c r="N804" s="413"/>
      <c r="O804" s="413"/>
      <c r="P804" s="413"/>
      <c r="Q804" s="413"/>
      <c r="R804" s="413"/>
      <c r="S804" s="413"/>
      <c r="T804" s="413"/>
      <c r="U804" s="413"/>
      <c r="V804" s="413"/>
      <c r="W804" s="413"/>
      <c r="X804" s="413"/>
      <c r="Y804" s="413"/>
      <c r="Z804" s="413"/>
    </row>
    <row r="805" ht="12.0" customHeight="1">
      <c r="A805" s="413"/>
      <c r="B805" s="413"/>
      <c r="C805" s="414"/>
      <c r="D805" s="414"/>
      <c r="E805" s="414"/>
      <c r="F805" s="414"/>
      <c r="G805" s="413"/>
      <c r="H805" s="413"/>
      <c r="I805" s="413"/>
      <c r="J805" s="413"/>
      <c r="K805" s="413"/>
      <c r="L805" s="413"/>
      <c r="M805" s="413"/>
      <c r="N805" s="413"/>
      <c r="O805" s="413"/>
      <c r="P805" s="413"/>
      <c r="Q805" s="413"/>
      <c r="R805" s="413"/>
      <c r="S805" s="413"/>
      <c r="T805" s="413"/>
      <c r="U805" s="413"/>
      <c r="V805" s="413"/>
      <c r="W805" s="413"/>
      <c r="X805" s="413"/>
      <c r="Y805" s="413"/>
      <c r="Z805" s="413"/>
    </row>
    <row r="806" ht="12.0" customHeight="1">
      <c r="A806" s="413"/>
      <c r="B806" s="413"/>
      <c r="C806" s="414"/>
      <c r="D806" s="414"/>
      <c r="E806" s="414"/>
      <c r="F806" s="414"/>
      <c r="G806" s="413"/>
      <c r="H806" s="413"/>
      <c r="I806" s="413"/>
      <c r="J806" s="413"/>
      <c r="K806" s="413"/>
      <c r="L806" s="413"/>
      <c r="M806" s="413"/>
      <c r="N806" s="413"/>
      <c r="O806" s="413"/>
      <c r="P806" s="413"/>
      <c r="Q806" s="413"/>
      <c r="R806" s="413"/>
      <c r="S806" s="413"/>
      <c r="T806" s="413"/>
      <c r="U806" s="413"/>
      <c r="V806" s="413"/>
      <c r="W806" s="413"/>
      <c r="X806" s="413"/>
      <c r="Y806" s="413"/>
      <c r="Z806" s="413"/>
    </row>
    <row r="807" ht="12.0" customHeight="1">
      <c r="A807" s="413"/>
      <c r="B807" s="413"/>
      <c r="C807" s="414"/>
      <c r="D807" s="414"/>
      <c r="E807" s="414"/>
      <c r="F807" s="414"/>
      <c r="G807" s="413"/>
      <c r="H807" s="413"/>
      <c r="I807" s="413"/>
      <c r="J807" s="413"/>
      <c r="K807" s="413"/>
      <c r="L807" s="413"/>
      <c r="M807" s="413"/>
      <c r="N807" s="413"/>
      <c r="O807" s="413"/>
      <c r="P807" s="413"/>
      <c r="Q807" s="413"/>
      <c r="R807" s="413"/>
      <c r="S807" s="413"/>
      <c r="T807" s="413"/>
      <c r="U807" s="413"/>
      <c r="V807" s="413"/>
      <c r="W807" s="413"/>
      <c r="X807" s="413"/>
      <c r="Y807" s="413"/>
      <c r="Z807" s="413"/>
    </row>
    <row r="808" ht="12.0" customHeight="1">
      <c r="A808" s="413"/>
      <c r="B808" s="413"/>
      <c r="C808" s="414"/>
      <c r="D808" s="414"/>
      <c r="E808" s="414"/>
      <c r="F808" s="414"/>
      <c r="G808" s="413"/>
      <c r="H808" s="413"/>
      <c r="I808" s="413"/>
      <c r="J808" s="413"/>
      <c r="K808" s="413"/>
      <c r="L808" s="413"/>
      <c r="M808" s="413"/>
      <c r="N808" s="413"/>
      <c r="O808" s="413"/>
      <c r="P808" s="413"/>
      <c r="Q808" s="413"/>
      <c r="R808" s="413"/>
      <c r="S808" s="413"/>
      <c r="T808" s="413"/>
      <c r="U808" s="413"/>
      <c r="V808" s="413"/>
      <c r="W808" s="413"/>
      <c r="X808" s="413"/>
      <c r="Y808" s="413"/>
      <c r="Z808" s="413"/>
    </row>
    <row r="809" ht="12.0" customHeight="1">
      <c r="A809" s="413"/>
      <c r="B809" s="413"/>
      <c r="C809" s="414"/>
      <c r="D809" s="414"/>
      <c r="E809" s="414"/>
      <c r="F809" s="414"/>
      <c r="G809" s="413"/>
      <c r="H809" s="413"/>
      <c r="I809" s="413"/>
      <c r="J809" s="413"/>
      <c r="K809" s="413"/>
      <c r="L809" s="413"/>
      <c r="M809" s="413"/>
      <c r="N809" s="413"/>
      <c r="O809" s="413"/>
      <c r="P809" s="413"/>
      <c r="Q809" s="413"/>
      <c r="R809" s="413"/>
      <c r="S809" s="413"/>
      <c r="T809" s="413"/>
      <c r="U809" s="413"/>
      <c r="V809" s="413"/>
      <c r="W809" s="413"/>
      <c r="X809" s="413"/>
      <c r="Y809" s="413"/>
      <c r="Z809" s="413"/>
    </row>
    <row r="810" ht="12.0" customHeight="1">
      <c r="A810" s="413"/>
      <c r="B810" s="413"/>
      <c r="C810" s="414"/>
      <c r="D810" s="414"/>
      <c r="E810" s="414"/>
      <c r="F810" s="414"/>
      <c r="G810" s="413"/>
      <c r="H810" s="413"/>
      <c r="I810" s="413"/>
      <c r="J810" s="413"/>
      <c r="K810" s="413"/>
      <c r="L810" s="413"/>
      <c r="M810" s="413"/>
      <c r="N810" s="413"/>
      <c r="O810" s="413"/>
      <c r="P810" s="413"/>
      <c r="Q810" s="413"/>
      <c r="R810" s="413"/>
      <c r="S810" s="413"/>
      <c r="T810" s="413"/>
      <c r="U810" s="413"/>
      <c r="V810" s="413"/>
      <c r="W810" s="413"/>
      <c r="X810" s="413"/>
      <c r="Y810" s="413"/>
      <c r="Z810" s="413"/>
    </row>
    <row r="811" ht="12.0" customHeight="1">
      <c r="A811" s="413"/>
      <c r="B811" s="413"/>
      <c r="C811" s="414"/>
      <c r="D811" s="414"/>
      <c r="E811" s="414"/>
      <c r="F811" s="414"/>
      <c r="G811" s="413"/>
      <c r="H811" s="413"/>
      <c r="I811" s="413"/>
      <c r="J811" s="413"/>
      <c r="K811" s="413"/>
      <c r="L811" s="413"/>
      <c r="M811" s="413"/>
      <c r="N811" s="413"/>
      <c r="O811" s="413"/>
      <c r="P811" s="413"/>
      <c r="Q811" s="413"/>
      <c r="R811" s="413"/>
      <c r="S811" s="413"/>
      <c r="T811" s="413"/>
      <c r="U811" s="413"/>
      <c r="V811" s="413"/>
      <c r="W811" s="413"/>
      <c r="X811" s="413"/>
      <c r="Y811" s="413"/>
      <c r="Z811" s="413"/>
    </row>
    <row r="812" ht="12.0" customHeight="1">
      <c r="A812" s="413"/>
      <c r="B812" s="413"/>
      <c r="C812" s="414"/>
      <c r="D812" s="414"/>
      <c r="E812" s="414"/>
      <c r="F812" s="414"/>
      <c r="G812" s="413"/>
      <c r="H812" s="413"/>
      <c r="I812" s="413"/>
      <c r="J812" s="413"/>
      <c r="K812" s="413"/>
      <c r="L812" s="413"/>
      <c r="M812" s="413"/>
      <c r="N812" s="413"/>
      <c r="O812" s="413"/>
      <c r="P812" s="413"/>
      <c r="Q812" s="413"/>
      <c r="R812" s="413"/>
      <c r="S812" s="413"/>
      <c r="T812" s="413"/>
      <c r="U812" s="413"/>
      <c r="V812" s="413"/>
      <c r="W812" s="413"/>
      <c r="X812" s="413"/>
      <c r="Y812" s="413"/>
      <c r="Z812" s="413"/>
    </row>
    <row r="813" ht="12.0" customHeight="1">
      <c r="A813" s="413"/>
      <c r="B813" s="413"/>
      <c r="C813" s="414"/>
      <c r="D813" s="414"/>
      <c r="E813" s="414"/>
      <c r="F813" s="414"/>
      <c r="G813" s="413"/>
      <c r="H813" s="413"/>
      <c r="I813" s="413"/>
      <c r="J813" s="413"/>
      <c r="K813" s="413"/>
      <c r="L813" s="413"/>
      <c r="M813" s="413"/>
      <c r="N813" s="413"/>
      <c r="O813" s="413"/>
      <c r="P813" s="413"/>
      <c r="Q813" s="413"/>
      <c r="R813" s="413"/>
      <c r="S813" s="413"/>
      <c r="T813" s="413"/>
      <c r="U813" s="413"/>
      <c r="V813" s="413"/>
      <c r="W813" s="413"/>
      <c r="X813" s="413"/>
      <c r="Y813" s="413"/>
      <c r="Z813" s="413"/>
    </row>
    <row r="814" ht="12.0" customHeight="1">
      <c r="A814" s="413"/>
      <c r="B814" s="413"/>
      <c r="C814" s="414"/>
      <c r="D814" s="414"/>
      <c r="E814" s="414"/>
      <c r="F814" s="414"/>
      <c r="G814" s="413"/>
      <c r="H814" s="413"/>
      <c r="I814" s="413"/>
      <c r="J814" s="413"/>
      <c r="K814" s="413"/>
      <c r="L814" s="413"/>
      <c r="M814" s="413"/>
      <c r="N814" s="413"/>
      <c r="O814" s="413"/>
      <c r="P814" s="413"/>
      <c r="Q814" s="413"/>
      <c r="R814" s="413"/>
      <c r="S814" s="413"/>
      <c r="T814" s="413"/>
      <c r="U814" s="413"/>
      <c r="V814" s="413"/>
      <c r="W814" s="413"/>
      <c r="X814" s="413"/>
      <c r="Y814" s="413"/>
      <c r="Z814" s="413"/>
    </row>
    <row r="815" ht="12.0" customHeight="1">
      <c r="A815" s="413"/>
      <c r="B815" s="413"/>
      <c r="C815" s="414"/>
      <c r="D815" s="414"/>
      <c r="E815" s="414"/>
      <c r="F815" s="414"/>
      <c r="G815" s="413"/>
      <c r="H815" s="413"/>
      <c r="I815" s="413"/>
      <c r="J815" s="413"/>
      <c r="K815" s="413"/>
      <c r="L815" s="413"/>
      <c r="M815" s="413"/>
      <c r="N815" s="413"/>
      <c r="O815" s="413"/>
      <c r="P815" s="413"/>
      <c r="Q815" s="413"/>
      <c r="R815" s="413"/>
      <c r="S815" s="413"/>
      <c r="T815" s="413"/>
      <c r="U815" s="413"/>
      <c r="V815" s="413"/>
      <c r="W815" s="413"/>
      <c r="X815" s="413"/>
      <c r="Y815" s="413"/>
      <c r="Z815" s="413"/>
    </row>
    <row r="816" ht="12.0" customHeight="1">
      <c r="A816" s="413"/>
      <c r="B816" s="413"/>
      <c r="C816" s="414"/>
      <c r="D816" s="414"/>
      <c r="E816" s="414"/>
      <c r="F816" s="414"/>
      <c r="G816" s="413"/>
      <c r="H816" s="413"/>
      <c r="I816" s="413"/>
      <c r="J816" s="413"/>
      <c r="K816" s="413"/>
      <c r="L816" s="413"/>
      <c r="M816" s="413"/>
      <c r="N816" s="413"/>
      <c r="O816" s="413"/>
      <c r="P816" s="413"/>
      <c r="Q816" s="413"/>
      <c r="R816" s="413"/>
      <c r="S816" s="413"/>
      <c r="T816" s="413"/>
      <c r="U816" s="413"/>
      <c r="V816" s="413"/>
      <c r="W816" s="413"/>
      <c r="X816" s="413"/>
      <c r="Y816" s="413"/>
      <c r="Z816" s="413"/>
    </row>
    <row r="817" ht="12.0" customHeight="1">
      <c r="A817" s="413"/>
      <c r="B817" s="413"/>
      <c r="C817" s="414"/>
      <c r="D817" s="414"/>
      <c r="E817" s="414"/>
      <c r="F817" s="414"/>
      <c r="G817" s="413"/>
      <c r="H817" s="413"/>
      <c r="I817" s="413"/>
      <c r="J817" s="413"/>
      <c r="K817" s="413"/>
      <c r="L817" s="413"/>
      <c r="M817" s="413"/>
      <c r="N817" s="413"/>
      <c r="O817" s="413"/>
      <c r="P817" s="413"/>
      <c r="Q817" s="413"/>
      <c r="R817" s="413"/>
      <c r="S817" s="413"/>
      <c r="T817" s="413"/>
      <c r="U817" s="413"/>
      <c r="V817" s="413"/>
      <c r="W817" s="413"/>
      <c r="X817" s="413"/>
      <c r="Y817" s="413"/>
      <c r="Z817" s="413"/>
    </row>
    <row r="818" ht="12.0" customHeight="1">
      <c r="A818" s="413"/>
      <c r="B818" s="413"/>
      <c r="C818" s="414"/>
      <c r="D818" s="414"/>
      <c r="E818" s="414"/>
      <c r="F818" s="414"/>
      <c r="G818" s="413"/>
      <c r="H818" s="413"/>
      <c r="I818" s="413"/>
      <c r="J818" s="413"/>
      <c r="K818" s="413"/>
      <c r="L818" s="413"/>
      <c r="M818" s="413"/>
      <c r="N818" s="413"/>
      <c r="O818" s="413"/>
      <c r="P818" s="413"/>
      <c r="Q818" s="413"/>
      <c r="R818" s="413"/>
      <c r="S818" s="413"/>
      <c r="T818" s="413"/>
      <c r="U818" s="413"/>
      <c r="V818" s="413"/>
      <c r="W818" s="413"/>
      <c r="X818" s="413"/>
      <c r="Y818" s="413"/>
      <c r="Z818" s="413"/>
    </row>
    <row r="819" ht="12.0" customHeight="1">
      <c r="A819" s="413"/>
      <c r="B819" s="413"/>
      <c r="C819" s="414"/>
      <c r="D819" s="414"/>
      <c r="E819" s="414"/>
      <c r="F819" s="414"/>
      <c r="G819" s="413"/>
      <c r="H819" s="413"/>
      <c r="I819" s="413"/>
      <c r="J819" s="413"/>
      <c r="K819" s="413"/>
      <c r="L819" s="413"/>
      <c r="M819" s="413"/>
      <c r="N819" s="413"/>
      <c r="O819" s="413"/>
      <c r="P819" s="413"/>
      <c r="Q819" s="413"/>
      <c r="R819" s="413"/>
      <c r="S819" s="413"/>
      <c r="T819" s="413"/>
      <c r="U819" s="413"/>
      <c r="V819" s="413"/>
      <c r="W819" s="413"/>
      <c r="X819" s="413"/>
      <c r="Y819" s="413"/>
      <c r="Z819" s="413"/>
    </row>
    <row r="820" ht="12.0" customHeight="1">
      <c r="A820" s="413"/>
      <c r="B820" s="413"/>
      <c r="C820" s="414"/>
      <c r="D820" s="414"/>
      <c r="E820" s="414"/>
      <c r="F820" s="414"/>
      <c r="G820" s="413"/>
      <c r="H820" s="413"/>
      <c r="I820" s="413"/>
      <c r="J820" s="413"/>
      <c r="K820" s="413"/>
      <c r="L820" s="413"/>
      <c r="M820" s="413"/>
      <c r="N820" s="413"/>
      <c r="O820" s="413"/>
      <c r="P820" s="413"/>
      <c r="Q820" s="413"/>
      <c r="R820" s="413"/>
      <c r="S820" s="413"/>
      <c r="T820" s="413"/>
      <c r="U820" s="413"/>
      <c r="V820" s="413"/>
      <c r="W820" s="413"/>
      <c r="X820" s="413"/>
      <c r="Y820" s="413"/>
      <c r="Z820" s="413"/>
    </row>
    <row r="821" ht="12.0" customHeight="1">
      <c r="A821" s="413"/>
      <c r="B821" s="413"/>
      <c r="C821" s="414"/>
      <c r="D821" s="414"/>
      <c r="E821" s="414"/>
      <c r="F821" s="414"/>
      <c r="G821" s="413"/>
      <c r="H821" s="413"/>
      <c r="I821" s="413"/>
      <c r="J821" s="413"/>
      <c r="K821" s="413"/>
      <c r="L821" s="413"/>
      <c r="M821" s="413"/>
      <c r="N821" s="413"/>
      <c r="O821" s="413"/>
      <c r="P821" s="413"/>
      <c r="Q821" s="413"/>
      <c r="R821" s="413"/>
      <c r="S821" s="413"/>
      <c r="T821" s="413"/>
      <c r="U821" s="413"/>
      <c r="V821" s="413"/>
      <c r="W821" s="413"/>
      <c r="X821" s="413"/>
      <c r="Y821" s="413"/>
      <c r="Z821" s="413"/>
    </row>
    <row r="822" ht="12.0" customHeight="1">
      <c r="A822" s="413"/>
      <c r="B822" s="413"/>
      <c r="C822" s="414"/>
      <c r="D822" s="414"/>
      <c r="E822" s="414"/>
      <c r="F822" s="414"/>
      <c r="G822" s="413"/>
      <c r="H822" s="413"/>
      <c r="I822" s="413"/>
      <c r="J822" s="413"/>
      <c r="K822" s="413"/>
      <c r="L822" s="413"/>
      <c r="M822" s="413"/>
      <c r="N822" s="413"/>
      <c r="O822" s="413"/>
      <c r="P822" s="413"/>
      <c r="Q822" s="413"/>
      <c r="R822" s="413"/>
      <c r="S822" s="413"/>
      <c r="T822" s="413"/>
      <c r="U822" s="413"/>
      <c r="V822" s="413"/>
      <c r="W822" s="413"/>
      <c r="X822" s="413"/>
      <c r="Y822" s="413"/>
      <c r="Z822" s="413"/>
    </row>
    <row r="823" ht="12.0" customHeight="1">
      <c r="A823" s="413"/>
      <c r="B823" s="413"/>
      <c r="C823" s="414"/>
      <c r="D823" s="414"/>
      <c r="E823" s="414"/>
      <c r="F823" s="414"/>
      <c r="G823" s="413"/>
      <c r="H823" s="413"/>
      <c r="I823" s="413"/>
      <c r="J823" s="413"/>
      <c r="K823" s="413"/>
      <c r="L823" s="413"/>
      <c r="M823" s="413"/>
      <c r="N823" s="413"/>
      <c r="O823" s="413"/>
      <c r="P823" s="413"/>
      <c r="Q823" s="413"/>
      <c r="R823" s="413"/>
      <c r="S823" s="413"/>
      <c r="T823" s="413"/>
      <c r="U823" s="413"/>
      <c r="V823" s="413"/>
      <c r="W823" s="413"/>
      <c r="X823" s="413"/>
      <c r="Y823" s="413"/>
      <c r="Z823" s="413"/>
    </row>
    <row r="824" ht="12.0" customHeight="1">
      <c r="A824" s="413"/>
      <c r="B824" s="413"/>
      <c r="C824" s="414"/>
      <c r="D824" s="414"/>
      <c r="E824" s="414"/>
      <c r="F824" s="414"/>
      <c r="G824" s="413"/>
      <c r="H824" s="413"/>
      <c r="I824" s="413"/>
      <c r="J824" s="413"/>
      <c r="K824" s="413"/>
      <c r="L824" s="413"/>
      <c r="M824" s="413"/>
      <c r="N824" s="413"/>
      <c r="O824" s="413"/>
      <c r="P824" s="413"/>
      <c r="Q824" s="413"/>
      <c r="R824" s="413"/>
      <c r="S824" s="413"/>
      <c r="T824" s="413"/>
      <c r="U824" s="413"/>
      <c r="V824" s="413"/>
      <c r="W824" s="413"/>
      <c r="X824" s="413"/>
      <c r="Y824" s="413"/>
      <c r="Z824" s="413"/>
    </row>
    <row r="825" ht="12.0" customHeight="1">
      <c r="A825" s="413"/>
      <c r="B825" s="413"/>
      <c r="C825" s="414"/>
      <c r="D825" s="414"/>
      <c r="E825" s="414"/>
      <c r="F825" s="414"/>
      <c r="G825" s="413"/>
      <c r="H825" s="413"/>
      <c r="I825" s="413"/>
      <c r="J825" s="413"/>
      <c r="K825" s="413"/>
      <c r="L825" s="413"/>
      <c r="M825" s="413"/>
      <c r="N825" s="413"/>
      <c r="O825" s="413"/>
      <c r="P825" s="413"/>
      <c r="Q825" s="413"/>
      <c r="R825" s="413"/>
      <c r="S825" s="413"/>
      <c r="T825" s="413"/>
      <c r="U825" s="413"/>
      <c r="V825" s="413"/>
      <c r="W825" s="413"/>
      <c r="X825" s="413"/>
      <c r="Y825" s="413"/>
      <c r="Z825" s="413"/>
    </row>
    <row r="826" ht="12.0" customHeight="1">
      <c r="A826" s="413"/>
      <c r="B826" s="413"/>
      <c r="C826" s="414"/>
      <c r="D826" s="414"/>
      <c r="E826" s="414"/>
      <c r="F826" s="414"/>
      <c r="G826" s="413"/>
      <c r="H826" s="413"/>
      <c r="I826" s="413"/>
      <c r="J826" s="413"/>
      <c r="K826" s="413"/>
      <c r="L826" s="413"/>
      <c r="M826" s="413"/>
      <c r="N826" s="413"/>
      <c r="O826" s="413"/>
      <c r="P826" s="413"/>
      <c r="Q826" s="413"/>
      <c r="R826" s="413"/>
      <c r="S826" s="413"/>
      <c r="T826" s="413"/>
      <c r="U826" s="413"/>
      <c r="V826" s="413"/>
      <c r="W826" s="413"/>
      <c r="X826" s="413"/>
      <c r="Y826" s="413"/>
      <c r="Z826" s="413"/>
    </row>
    <row r="827" ht="12.0" customHeight="1">
      <c r="A827" s="413"/>
      <c r="B827" s="413"/>
      <c r="C827" s="414"/>
      <c r="D827" s="414"/>
      <c r="E827" s="414"/>
      <c r="F827" s="414"/>
      <c r="G827" s="413"/>
      <c r="H827" s="413"/>
      <c r="I827" s="413"/>
      <c r="J827" s="413"/>
      <c r="K827" s="413"/>
      <c r="L827" s="413"/>
      <c r="M827" s="413"/>
      <c r="N827" s="413"/>
      <c r="O827" s="413"/>
      <c r="P827" s="413"/>
      <c r="Q827" s="413"/>
      <c r="R827" s="413"/>
      <c r="S827" s="413"/>
      <c r="T827" s="413"/>
      <c r="U827" s="413"/>
      <c r="V827" s="413"/>
      <c r="W827" s="413"/>
      <c r="X827" s="413"/>
      <c r="Y827" s="413"/>
      <c r="Z827" s="413"/>
    </row>
    <row r="828" ht="12.0" customHeight="1">
      <c r="A828" s="413"/>
      <c r="B828" s="413"/>
      <c r="C828" s="414"/>
      <c r="D828" s="414"/>
      <c r="E828" s="414"/>
      <c r="F828" s="414"/>
      <c r="G828" s="413"/>
      <c r="H828" s="413"/>
      <c r="I828" s="413"/>
      <c r="J828" s="413"/>
      <c r="K828" s="413"/>
      <c r="L828" s="413"/>
      <c r="M828" s="413"/>
      <c r="N828" s="413"/>
      <c r="O828" s="413"/>
      <c r="P828" s="413"/>
      <c r="Q828" s="413"/>
      <c r="R828" s="413"/>
      <c r="S828" s="413"/>
      <c r="T828" s="413"/>
      <c r="U828" s="413"/>
      <c r="V828" s="413"/>
      <c r="W828" s="413"/>
      <c r="X828" s="413"/>
      <c r="Y828" s="413"/>
      <c r="Z828" s="413"/>
    </row>
    <row r="829" ht="12.0" customHeight="1">
      <c r="A829" s="413"/>
      <c r="B829" s="413"/>
      <c r="C829" s="414"/>
      <c r="D829" s="414"/>
      <c r="E829" s="414"/>
      <c r="F829" s="414"/>
      <c r="G829" s="413"/>
      <c r="H829" s="413"/>
      <c r="I829" s="413"/>
      <c r="J829" s="413"/>
      <c r="K829" s="413"/>
      <c r="L829" s="413"/>
      <c r="M829" s="413"/>
      <c r="N829" s="413"/>
      <c r="O829" s="413"/>
      <c r="P829" s="413"/>
      <c r="Q829" s="413"/>
      <c r="R829" s="413"/>
      <c r="S829" s="413"/>
      <c r="T829" s="413"/>
      <c r="U829" s="413"/>
      <c r="V829" s="413"/>
      <c r="W829" s="413"/>
      <c r="X829" s="413"/>
      <c r="Y829" s="413"/>
      <c r="Z829" s="413"/>
    </row>
    <row r="830" ht="12.0" customHeight="1">
      <c r="A830" s="413"/>
      <c r="B830" s="413"/>
      <c r="C830" s="414"/>
      <c r="D830" s="414"/>
      <c r="E830" s="414"/>
      <c r="F830" s="414"/>
      <c r="G830" s="413"/>
      <c r="H830" s="413"/>
      <c r="I830" s="413"/>
      <c r="J830" s="413"/>
      <c r="K830" s="413"/>
      <c r="L830" s="413"/>
      <c r="M830" s="413"/>
      <c r="N830" s="413"/>
      <c r="O830" s="413"/>
      <c r="P830" s="413"/>
      <c r="Q830" s="413"/>
      <c r="R830" s="413"/>
      <c r="S830" s="413"/>
      <c r="T830" s="413"/>
      <c r="U830" s="413"/>
      <c r="V830" s="413"/>
      <c r="W830" s="413"/>
      <c r="X830" s="413"/>
      <c r="Y830" s="413"/>
      <c r="Z830" s="413"/>
    </row>
    <row r="831" ht="12.0" customHeight="1">
      <c r="A831" s="413"/>
      <c r="B831" s="413"/>
      <c r="C831" s="414"/>
      <c r="D831" s="414"/>
      <c r="E831" s="414"/>
      <c r="F831" s="414"/>
      <c r="G831" s="413"/>
      <c r="H831" s="413"/>
      <c r="I831" s="413"/>
      <c r="J831" s="413"/>
      <c r="K831" s="413"/>
      <c r="L831" s="413"/>
      <c r="M831" s="413"/>
      <c r="N831" s="413"/>
      <c r="O831" s="413"/>
      <c r="P831" s="413"/>
      <c r="Q831" s="413"/>
      <c r="R831" s="413"/>
      <c r="S831" s="413"/>
      <c r="T831" s="413"/>
      <c r="U831" s="413"/>
      <c r="V831" s="413"/>
      <c r="W831" s="413"/>
      <c r="X831" s="413"/>
      <c r="Y831" s="413"/>
      <c r="Z831" s="413"/>
    </row>
    <row r="832" ht="12.0" customHeight="1">
      <c r="A832" s="413"/>
      <c r="B832" s="413"/>
      <c r="C832" s="414"/>
      <c r="D832" s="414"/>
      <c r="E832" s="414"/>
      <c r="F832" s="414"/>
      <c r="G832" s="413"/>
      <c r="H832" s="413"/>
      <c r="I832" s="413"/>
      <c r="J832" s="413"/>
      <c r="K832" s="413"/>
      <c r="L832" s="413"/>
      <c r="M832" s="413"/>
      <c r="N832" s="413"/>
      <c r="O832" s="413"/>
      <c r="P832" s="413"/>
      <c r="Q832" s="413"/>
      <c r="R832" s="413"/>
      <c r="S832" s="413"/>
      <c r="T832" s="413"/>
      <c r="U832" s="413"/>
      <c r="V832" s="413"/>
      <c r="W832" s="413"/>
      <c r="X832" s="413"/>
      <c r="Y832" s="413"/>
      <c r="Z832" s="413"/>
    </row>
    <row r="833" ht="12.0" customHeight="1">
      <c r="A833" s="413"/>
      <c r="B833" s="413"/>
      <c r="C833" s="414"/>
      <c r="D833" s="414"/>
      <c r="E833" s="414"/>
      <c r="F833" s="414"/>
      <c r="G833" s="413"/>
      <c r="H833" s="413"/>
      <c r="I833" s="413"/>
      <c r="J833" s="413"/>
      <c r="K833" s="413"/>
      <c r="L833" s="413"/>
      <c r="M833" s="413"/>
      <c r="N833" s="413"/>
      <c r="O833" s="413"/>
      <c r="P833" s="413"/>
      <c r="Q833" s="413"/>
      <c r="R833" s="413"/>
      <c r="S833" s="413"/>
      <c r="T833" s="413"/>
      <c r="U833" s="413"/>
      <c r="V833" s="413"/>
      <c r="W833" s="413"/>
      <c r="X833" s="413"/>
      <c r="Y833" s="413"/>
      <c r="Z833" s="413"/>
    </row>
    <row r="834" ht="12.0" customHeight="1">
      <c r="A834" s="413"/>
      <c r="B834" s="413"/>
      <c r="C834" s="414"/>
      <c r="D834" s="414"/>
      <c r="E834" s="414"/>
      <c r="F834" s="414"/>
      <c r="G834" s="41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413"/>
      <c r="T834" s="413"/>
      <c r="U834" s="413"/>
      <c r="V834" s="413"/>
      <c r="W834" s="413"/>
      <c r="X834" s="413"/>
      <c r="Y834" s="413"/>
      <c r="Z834" s="413"/>
    </row>
    <row r="835" ht="12.0" customHeight="1">
      <c r="A835" s="413"/>
      <c r="B835" s="413"/>
      <c r="C835" s="414"/>
      <c r="D835" s="414"/>
      <c r="E835" s="414"/>
      <c r="F835" s="414"/>
      <c r="G835" s="413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  <c r="S835" s="413"/>
      <c r="T835" s="413"/>
      <c r="U835" s="413"/>
      <c r="V835" s="413"/>
      <c r="W835" s="413"/>
      <c r="X835" s="413"/>
      <c r="Y835" s="413"/>
      <c r="Z835" s="413"/>
    </row>
    <row r="836" ht="12.0" customHeight="1">
      <c r="A836" s="413"/>
      <c r="B836" s="413"/>
      <c r="C836" s="414"/>
      <c r="D836" s="414"/>
      <c r="E836" s="414"/>
      <c r="F836" s="414"/>
      <c r="G836" s="413"/>
      <c r="H836" s="413"/>
      <c r="I836" s="413"/>
      <c r="J836" s="413"/>
      <c r="K836" s="413"/>
      <c r="L836" s="413"/>
      <c r="M836" s="413"/>
      <c r="N836" s="413"/>
      <c r="O836" s="413"/>
      <c r="P836" s="413"/>
      <c r="Q836" s="413"/>
      <c r="R836" s="413"/>
      <c r="S836" s="413"/>
      <c r="T836" s="413"/>
      <c r="U836" s="413"/>
      <c r="V836" s="413"/>
      <c r="W836" s="413"/>
      <c r="X836" s="413"/>
      <c r="Y836" s="413"/>
      <c r="Z836" s="413"/>
    </row>
    <row r="837" ht="12.0" customHeight="1">
      <c r="A837" s="413"/>
      <c r="B837" s="413"/>
      <c r="C837" s="414"/>
      <c r="D837" s="414"/>
      <c r="E837" s="414"/>
      <c r="F837" s="414"/>
      <c r="G837" s="413"/>
      <c r="H837" s="413"/>
      <c r="I837" s="413"/>
      <c r="J837" s="413"/>
      <c r="K837" s="413"/>
      <c r="L837" s="413"/>
      <c r="M837" s="413"/>
      <c r="N837" s="413"/>
      <c r="O837" s="413"/>
      <c r="P837" s="413"/>
      <c r="Q837" s="413"/>
      <c r="R837" s="413"/>
      <c r="S837" s="413"/>
      <c r="T837" s="413"/>
      <c r="U837" s="413"/>
      <c r="V837" s="413"/>
      <c r="W837" s="413"/>
      <c r="X837" s="413"/>
      <c r="Y837" s="413"/>
      <c r="Z837" s="413"/>
    </row>
    <row r="838" ht="12.0" customHeight="1">
      <c r="A838" s="413"/>
      <c r="B838" s="413"/>
      <c r="C838" s="414"/>
      <c r="D838" s="414"/>
      <c r="E838" s="414"/>
      <c r="F838" s="414"/>
      <c r="G838" s="413"/>
      <c r="H838" s="413"/>
      <c r="I838" s="413"/>
      <c r="J838" s="413"/>
      <c r="K838" s="413"/>
      <c r="L838" s="413"/>
      <c r="M838" s="413"/>
      <c r="N838" s="413"/>
      <c r="O838" s="413"/>
      <c r="P838" s="413"/>
      <c r="Q838" s="413"/>
      <c r="R838" s="413"/>
      <c r="S838" s="413"/>
      <c r="T838" s="413"/>
      <c r="U838" s="413"/>
      <c r="V838" s="413"/>
      <c r="W838" s="413"/>
      <c r="X838" s="413"/>
      <c r="Y838" s="413"/>
      <c r="Z838" s="413"/>
    </row>
    <row r="839" ht="12.0" customHeight="1">
      <c r="A839" s="413"/>
      <c r="B839" s="413"/>
      <c r="C839" s="414"/>
      <c r="D839" s="414"/>
      <c r="E839" s="414"/>
      <c r="F839" s="414"/>
      <c r="G839" s="413"/>
      <c r="H839" s="413"/>
      <c r="I839" s="413"/>
      <c r="J839" s="413"/>
      <c r="K839" s="413"/>
      <c r="L839" s="413"/>
      <c r="M839" s="413"/>
      <c r="N839" s="413"/>
      <c r="O839" s="413"/>
      <c r="P839" s="413"/>
      <c r="Q839" s="413"/>
      <c r="R839" s="413"/>
      <c r="S839" s="413"/>
      <c r="T839" s="413"/>
      <c r="U839" s="413"/>
      <c r="V839" s="413"/>
      <c r="W839" s="413"/>
      <c r="X839" s="413"/>
      <c r="Y839" s="413"/>
      <c r="Z839" s="413"/>
    </row>
    <row r="840" ht="12.0" customHeight="1">
      <c r="A840" s="413"/>
      <c r="B840" s="413"/>
      <c r="C840" s="414"/>
      <c r="D840" s="414"/>
      <c r="E840" s="414"/>
      <c r="F840" s="414"/>
      <c r="G840" s="413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  <c r="T840" s="413"/>
      <c r="U840" s="413"/>
      <c r="V840" s="413"/>
      <c r="W840" s="413"/>
      <c r="X840" s="413"/>
      <c r="Y840" s="413"/>
      <c r="Z840" s="413"/>
    </row>
    <row r="841" ht="12.0" customHeight="1">
      <c r="A841" s="413"/>
      <c r="B841" s="413"/>
      <c r="C841" s="414"/>
      <c r="D841" s="414"/>
      <c r="E841" s="414"/>
      <c r="F841" s="414"/>
      <c r="G841" s="413"/>
      <c r="H841" s="413"/>
      <c r="I841" s="413"/>
      <c r="J841" s="413"/>
      <c r="K841" s="413"/>
      <c r="L841" s="413"/>
      <c r="M841" s="413"/>
      <c r="N841" s="413"/>
      <c r="O841" s="413"/>
      <c r="P841" s="413"/>
      <c r="Q841" s="413"/>
      <c r="R841" s="413"/>
      <c r="S841" s="413"/>
      <c r="T841" s="413"/>
      <c r="U841" s="413"/>
      <c r="V841" s="413"/>
      <c r="W841" s="413"/>
      <c r="X841" s="413"/>
      <c r="Y841" s="413"/>
      <c r="Z841" s="413"/>
    </row>
    <row r="842" ht="12.0" customHeight="1">
      <c r="A842" s="413"/>
      <c r="B842" s="413"/>
      <c r="C842" s="414"/>
      <c r="D842" s="414"/>
      <c r="E842" s="414"/>
      <c r="F842" s="414"/>
      <c r="G842" s="413"/>
      <c r="H842" s="413"/>
      <c r="I842" s="413"/>
      <c r="J842" s="413"/>
      <c r="K842" s="413"/>
      <c r="L842" s="413"/>
      <c r="M842" s="413"/>
      <c r="N842" s="413"/>
      <c r="O842" s="413"/>
      <c r="P842" s="413"/>
      <c r="Q842" s="413"/>
      <c r="R842" s="413"/>
      <c r="S842" s="413"/>
      <c r="T842" s="413"/>
      <c r="U842" s="413"/>
      <c r="V842" s="413"/>
      <c r="W842" s="413"/>
      <c r="X842" s="413"/>
      <c r="Y842" s="413"/>
      <c r="Z842" s="413"/>
    </row>
    <row r="843" ht="12.0" customHeight="1">
      <c r="A843" s="413"/>
      <c r="B843" s="413"/>
      <c r="C843" s="414"/>
      <c r="D843" s="414"/>
      <c r="E843" s="414"/>
      <c r="F843" s="414"/>
      <c r="G843" s="413"/>
      <c r="H843" s="413"/>
      <c r="I843" s="413"/>
      <c r="J843" s="413"/>
      <c r="K843" s="413"/>
      <c r="L843" s="413"/>
      <c r="M843" s="413"/>
      <c r="N843" s="413"/>
      <c r="O843" s="413"/>
      <c r="P843" s="413"/>
      <c r="Q843" s="413"/>
      <c r="R843" s="413"/>
      <c r="S843" s="413"/>
      <c r="T843" s="413"/>
      <c r="U843" s="413"/>
      <c r="V843" s="413"/>
      <c r="W843" s="413"/>
      <c r="X843" s="413"/>
      <c r="Y843" s="413"/>
      <c r="Z843" s="413"/>
    </row>
    <row r="844" ht="12.0" customHeight="1">
      <c r="A844" s="413"/>
      <c r="B844" s="413"/>
      <c r="C844" s="414"/>
      <c r="D844" s="414"/>
      <c r="E844" s="414"/>
      <c r="F844" s="414"/>
      <c r="G844" s="413"/>
      <c r="H844" s="413"/>
      <c r="I844" s="413"/>
      <c r="J844" s="413"/>
      <c r="K844" s="413"/>
      <c r="L844" s="413"/>
      <c r="M844" s="413"/>
      <c r="N844" s="413"/>
      <c r="O844" s="413"/>
      <c r="P844" s="413"/>
      <c r="Q844" s="413"/>
      <c r="R844" s="413"/>
      <c r="S844" s="413"/>
      <c r="T844" s="413"/>
      <c r="U844" s="413"/>
      <c r="V844" s="413"/>
      <c r="W844" s="413"/>
      <c r="X844" s="413"/>
      <c r="Y844" s="413"/>
      <c r="Z844" s="413"/>
    </row>
    <row r="845" ht="12.0" customHeight="1">
      <c r="A845" s="413"/>
      <c r="B845" s="413"/>
      <c r="C845" s="414"/>
      <c r="D845" s="414"/>
      <c r="E845" s="414"/>
      <c r="F845" s="414"/>
      <c r="G845" s="413"/>
      <c r="H845" s="413"/>
      <c r="I845" s="413"/>
      <c r="J845" s="413"/>
      <c r="K845" s="413"/>
      <c r="L845" s="413"/>
      <c r="M845" s="413"/>
      <c r="N845" s="413"/>
      <c r="O845" s="413"/>
      <c r="P845" s="413"/>
      <c r="Q845" s="413"/>
      <c r="R845" s="413"/>
      <c r="S845" s="413"/>
      <c r="T845" s="413"/>
      <c r="U845" s="413"/>
      <c r="V845" s="413"/>
      <c r="W845" s="413"/>
      <c r="X845" s="413"/>
      <c r="Y845" s="413"/>
      <c r="Z845" s="413"/>
    </row>
    <row r="846" ht="12.0" customHeight="1">
      <c r="A846" s="413"/>
      <c r="B846" s="413"/>
      <c r="C846" s="414"/>
      <c r="D846" s="414"/>
      <c r="E846" s="414"/>
      <c r="F846" s="414"/>
      <c r="G846" s="413"/>
      <c r="H846" s="413"/>
      <c r="I846" s="413"/>
      <c r="J846" s="413"/>
      <c r="K846" s="413"/>
      <c r="L846" s="413"/>
      <c r="M846" s="413"/>
      <c r="N846" s="413"/>
      <c r="O846" s="413"/>
      <c r="P846" s="413"/>
      <c r="Q846" s="413"/>
      <c r="R846" s="413"/>
      <c r="S846" s="413"/>
      <c r="T846" s="413"/>
      <c r="U846" s="413"/>
      <c r="V846" s="413"/>
      <c r="W846" s="413"/>
      <c r="X846" s="413"/>
      <c r="Y846" s="413"/>
      <c r="Z846" s="413"/>
    </row>
    <row r="847" ht="12.0" customHeight="1">
      <c r="A847" s="413"/>
      <c r="B847" s="413"/>
      <c r="C847" s="414"/>
      <c r="D847" s="414"/>
      <c r="E847" s="414"/>
      <c r="F847" s="414"/>
      <c r="G847" s="413"/>
      <c r="H847" s="413"/>
      <c r="I847" s="413"/>
      <c r="J847" s="413"/>
      <c r="K847" s="413"/>
      <c r="L847" s="413"/>
      <c r="M847" s="413"/>
      <c r="N847" s="413"/>
      <c r="O847" s="413"/>
      <c r="P847" s="413"/>
      <c r="Q847" s="413"/>
      <c r="R847" s="413"/>
      <c r="S847" s="413"/>
      <c r="T847" s="413"/>
      <c r="U847" s="413"/>
      <c r="V847" s="413"/>
      <c r="W847" s="413"/>
      <c r="X847" s="413"/>
      <c r="Y847" s="413"/>
      <c r="Z847" s="413"/>
    </row>
    <row r="848" ht="12.0" customHeight="1">
      <c r="A848" s="413"/>
      <c r="B848" s="413"/>
      <c r="C848" s="414"/>
      <c r="D848" s="414"/>
      <c r="E848" s="414"/>
      <c r="F848" s="414"/>
      <c r="G848" s="413"/>
      <c r="H848" s="413"/>
      <c r="I848" s="413"/>
      <c r="J848" s="413"/>
      <c r="K848" s="413"/>
      <c r="L848" s="413"/>
      <c r="M848" s="413"/>
      <c r="N848" s="413"/>
      <c r="O848" s="413"/>
      <c r="P848" s="413"/>
      <c r="Q848" s="413"/>
      <c r="R848" s="413"/>
      <c r="S848" s="413"/>
      <c r="T848" s="413"/>
      <c r="U848" s="413"/>
      <c r="V848" s="413"/>
      <c r="W848" s="413"/>
      <c r="X848" s="413"/>
      <c r="Y848" s="413"/>
      <c r="Z848" s="413"/>
    </row>
    <row r="849" ht="12.0" customHeight="1">
      <c r="A849" s="413"/>
      <c r="B849" s="413"/>
      <c r="C849" s="414"/>
      <c r="D849" s="414"/>
      <c r="E849" s="414"/>
      <c r="F849" s="414"/>
      <c r="G849" s="413"/>
      <c r="H849" s="413"/>
      <c r="I849" s="413"/>
      <c r="J849" s="413"/>
      <c r="K849" s="413"/>
      <c r="L849" s="413"/>
      <c r="M849" s="413"/>
      <c r="N849" s="413"/>
      <c r="O849" s="413"/>
      <c r="P849" s="413"/>
      <c r="Q849" s="413"/>
      <c r="R849" s="413"/>
      <c r="S849" s="413"/>
      <c r="T849" s="413"/>
      <c r="U849" s="413"/>
      <c r="V849" s="413"/>
      <c r="W849" s="413"/>
      <c r="X849" s="413"/>
      <c r="Y849" s="413"/>
      <c r="Z849" s="413"/>
    </row>
    <row r="850" ht="12.0" customHeight="1">
      <c r="A850" s="413"/>
      <c r="B850" s="413"/>
      <c r="C850" s="414"/>
      <c r="D850" s="414"/>
      <c r="E850" s="414"/>
      <c r="F850" s="414"/>
      <c r="G850" s="413"/>
      <c r="H850" s="413"/>
      <c r="I850" s="413"/>
      <c r="J850" s="413"/>
      <c r="K850" s="413"/>
      <c r="L850" s="413"/>
      <c r="M850" s="413"/>
      <c r="N850" s="413"/>
      <c r="O850" s="413"/>
      <c r="P850" s="413"/>
      <c r="Q850" s="413"/>
      <c r="R850" s="413"/>
      <c r="S850" s="413"/>
      <c r="T850" s="413"/>
      <c r="U850" s="413"/>
      <c r="V850" s="413"/>
      <c r="W850" s="413"/>
      <c r="X850" s="413"/>
      <c r="Y850" s="413"/>
      <c r="Z850" s="413"/>
    </row>
    <row r="851" ht="12.0" customHeight="1">
      <c r="A851" s="413"/>
      <c r="B851" s="413"/>
      <c r="C851" s="414"/>
      <c r="D851" s="414"/>
      <c r="E851" s="414"/>
      <c r="F851" s="414"/>
      <c r="G851" s="413"/>
      <c r="H851" s="413"/>
      <c r="I851" s="413"/>
      <c r="J851" s="413"/>
      <c r="K851" s="413"/>
      <c r="L851" s="413"/>
      <c r="M851" s="413"/>
      <c r="N851" s="413"/>
      <c r="O851" s="413"/>
      <c r="P851" s="413"/>
      <c r="Q851" s="413"/>
      <c r="R851" s="413"/>
      <c r="S851" s="413"/>
      <c r="T851" s="413"/>
      <c r="U851" s="413"/>
      <c r="V851" s="413"/>
      <c r="W851" s="413"/>
      <c r="X851" s="413"/>
      <c r="Y851" s="413"/>
      <c r="Z851" s="413"/>
    </row>
    <row r="852" ht="12.0" customHeight="1">
      <c r="A852" s="413"/>
      <c r="B852" s="413"/>
      <c r="C852" s="414"/>
      <c r="D852" s="414"/>
      <c r="E852" s="414"/>
      <c r="F852" s="414"/>
      <c r="G852" s="413"/>
      <c r="H852" s="413"/>
      <c r="I852" s="413"/>
      <c r="J852" s="413"/>
      <c r="K852" s="413"/>
      <c r="L852" s="413"/>
      <c r="M852" s="413"/>
      <c r="N852" s="413"/>
      <c r="O852" s="413"/>
      <c r="P852" s="413"/>
      <c r="Q852" s="413"/>
      <c r="R852" s="413"/>
      <c r="S852" s="413"/>
      <c r="T852" s="413"/>
      <c r="U852" s="413"/>
      <c r="V852" s="413"/>
      <c r="W852" s="413"/>
      <c r="X852" s="413"/>
      <c r="Y852" s="413"/>
      <c r="Z852" s="413"/>
    </row>
    <row r="853" ht="12.0" customHeight="1">
      <c r="A853" s="413"/>
      <c r="B853" s="413"/>
      <c r="C853" s="414"/>
      <c r="D853" s="414"/>
      <c r="E853" s="414"/>
      <c r="F853" s="414"/>
      <c r="G853" s="413"/>
      <c r="H853" s="413"/>
      <c r="I853" s="413"/>
      <c r="J853" s="413"/>
      <c r="K853" s="413"/>
      <c r="L853" s="413"/>
      <c r="M853" s="413"/>
      <c r="N853" s="413"/>
      <c r="O853" s="413"/>
      <c r="P853" s="413"/>
      <c r="Q853" s="413"/>
      <c r="R853" s="413"/>
      <c r="S853" s="413"/>
      <c r="T853" s="413"/>
      <c r="U853" s="413"/>
      <c r="V853" s="413"/>
      <c r="W853" s="413"/>
      <c r="X853" s="413"/>
      <c r="Y853" s="413"/>
      <c r="Z853" s="413"/>
    </row>
    <row r="854" ht="12.0" customHeight="1">
      <c r="A854" s="413"/>
      <c r="B854" s="413"/>
      <c r="C854" s="414"/>
      <c r="D854" s="414"/>
      <c r="E854" s="414"/>
      <c r="F854" s="414"/>
      <c r="G854" s="413"/>
      <c r="H854" s="413"/>
      <c r="I854" s="413"/>
      <c r="J854" s="413"/>
      <c r="K854" s="413"/>
      <c r="L854" s="413"/>
      <c r="M854" s="413"/>
      <c r="N854" s="413"/>
      <c r="O854" s="413"/>
      <c r="P854" s="413"/>
      <c r="Q854" s="413"/>
      <c r="R854" s="413"/>
      <c r="S854" s="413"/>
      <c r="T854" s="413"/>
      <c r="U854" s="413"/>
      <c r="V854" s="413"/>
      <c r="W854" s="413"/>
      <c r="X854" s="413"/>
      <c r="Y854" s="413"/>
      <c r="Z854" s="413"/>
    </row>
    <row r="855" ht="12.0" customHeight="1">
      <c r="A855" s="413"/>
      <c r="B855" s="413"/>
      <c r="C855" s="414"/>
      <c r="D855" s="414"/>
      <c r="E855" s="414"/>
      <c r="F855" s="414"/>
      <c r="G855" s="413"/>
      <c r="H855" s="413"/>
      <c r="I855" s="413"/>
      <c r="J855" s="413"/>
      <c r="K855" s="413"/>
      <c r="L855" s="413"/>
      <c r="M855" s="413"/>
      <c r="N855" s="413"/>
      <c r="O855" s="413"/>
      <c r="P855" s="413"/>
      <c r="Q855" s="413"/>
      <c r="R855" s="413"/>
      <c r="S855" s="413"/>
      <c r="T855" s="413"/>
      <c r="U855" s="413"/>
      <c r="V855" s="413"/>
      <c r="W855" s="413"/>
      <c r="X855" s="413"/>
      <c r="Y855" s="413"/>
      <c r="Z855" s="413"/>
    </row>
    <row r="856" ht="12.0" customHeight="1">
      <c r="A856" s="413"/>
      <c r="B856" s="413"/>
      <c r="C856" s="414"/>
      <c r="D856" s="414"/>
      <c r="E856" s="414"/>
      <c r="F856" s="414"/>
      <c r="G856" s="413"/>
      <c r="H856" s="413"/>
      <c r="I856" s="413"/>
      <c r="J856" s="413"/>
      <c r="K856" s="413"/>
      <c r="L856" s="413"/>
      <c r="M856" s="413"/>
      <c r="N856" s="413"/>
      <c r="O856" s="413"/>
      <c r="P856" s="413"/>
      <c r="Q856" s="413"/>
      <c r="R856" s="413"/>
      <c r="S856" s="413"/>
      <c r="T856" s="413"/>
      <c r="U856" s="413"/>
      <c r="V856" s="413"/>
      <c r="W856" s="413"/>
      <c r="X856" s="413"/>
      <c r="Y856" s="413"/>
      <c r="Z856" s="413"/>
    </row>
    <row r="857" ht="12.0" customHeight="1">
      <c r="A857" s="413"/>
      <c r="B857" s="413"/>
      <c r="C857" s="414"/>
      <c r="D857" s="414"/>
      <c r="E857" s="414"/>
      <c r="F857" s="414"/>
      <c r="G857" s="413"/>
      <c r="H857" s="413"/>
      <c r="I857" s="413"/>
      <c r="J857" s="413"/>
      <c r="K857" s="413"/>
      <c r="L857" s="413"/>
      <c r="M857" s="413"/>
      <c r="N857" s="413"/>
      <c r="O857" s="413"/>
      <c r="P857" s="413"/>
      <c r="Q857" s="413"/>
      <c r="R857" s="413"/>
      <c r="S857" s="413"/>
      <c r="T857" s="413"/>
      <c r="U857" s="413"/>
      <c r="V857" s="413"/>
      <c r="W857" s="413"/>
      <c r="X857" s="413"/>
      <c r="Y857" s="413"/>
      <c r="Z857" s="413"/>
    </row>
    <row r="858" ht="12.0" customHeight="1">
      <c r="A858" s="413"/>
      <c r="B858" s="413"/>
      <c r="C858" s="414"/>
      <c r="D858" s="414"/>
      <c r="E858" s="414"/>
      <c r="F858" s="414"/>
      <c r="G858" s="413"/>
      <c r="H858" s="413"/>
      <c r="I858" s="413"/>
      <c r="J858" s="413"/>
      <c r="K858" s="413"/>
      <c r="L858" s="413"/>
      <c r="M858" s="413"/>
      <c r="N858" s="413"/>
      <c r="O858" s="413"/>
      <c r="P858" s="413"/>
      <c r="Q858" s="413"/>
      <c r="R858" s="413"/>
      <c r="S858" s="413"/>
      <c r="T858" s="413"/>
      <c r="U858" s="413"/>
      <c r="V858" s="413"/>
      <c r="W858" s="413"/>
      <c r="X858" s="413"/>
      <c r="Y858" s="413"/>
      <c r="Z858" s="413"/>
    </row>
    <row r="859" ht="12.0" customHeight="1">
      <c r="A859" s="413"/>
      <c r="B859" s="413"/>
      <c r="C859" s="414"/>
      <c r="D859" s="414"/>
      <c r="E859" s="414"/>
      <c r="F859" s="414"/>
      <c r="G859" s="413"/>
      <c r="H859" s="413"/>
      <c r="I859" s="413"/>
      <c r="J859" s="413"/>
      <c r="K859" s="413"/>
      <c r="L859" s="413"/>
      <c r="M859" s="413"/>
      <c r="N859" s="413"/>
      <c r="O859" s="413"/>
      <c r="P859" s="413"/>
      <c r="Q859" s="413"/>
      <c r="R859" s="413"/>
      <c r="S859" s="413"/>
      <c r="T859" s="413"/>
      <c r="U859" s="413"/>
      <c r="V859" s="413"/>
      <c r="W859" s="413"/>
      <c r="X859" s="413"/>
      <c r="Y859" s="413"/>
      <c r="Z859" s="413"/>
    </row>
    <row r="860" ht="12.0" customHeight="1">
      <c r="A860" s="413"/>
      <c r="B860" s="413"/>
      <c r="C860" s="414"/>
      <c r="D860" s="414"/>
      <c r="E860" s="414"/>
      <c r="F860" s="414"/>
      <c r="G860" s="413"/>
      <c r="H860" s="413"/>
      <c r="I860" s="413"/>
      <c r="J860" s="413"/>
      <c r="K860" s="413"/>
      <c r="L860" s="413"/>
      <c r="M860" s="413"/>
      <c r="N860" s="413"/>
      <c r="O860" s="413"/>
      <c r="P860" s="413"/>
      <c r="Q860" s="413"/>
      <c r="R860" s="413"/>
      <c r="S860" s="413"/>
      <c r="T860" s="413"/>
      <c r="U860" s="413"/>
      <c r="V860" s="413"/>
      <c r="W860" s="413"/>
      <c r="X860" s="413"/>
      <c r="Y860" s="413"/>
      <c r="Z860" s="413"/>
    </row>
    <row r="861" ht="12.0" customHeight="1">
      <c r="A861" s="413"/>
      <c r="B861" s="413"/>
      <c r="C861" s="414"/>
      <c r="D861" s="414"/>
      <c r="E861" s="414"/>
      <c r="F861" s="414"/>
      <c r="G861" s="413"/>
      <c r="H861" s="413"/>
      <c r="I861" s="413"/>
      <c r="J861" s="413"/>
      <c r="K861" s="413"/>
      <c r="L861" s="413"/>
      <c r="M861" s="413"/>
      <c r="N861" s="413"/>
      <c r="O861" s="413"/>
      <c r="P861" s="413"/>
      <c r="Q861" s="413"/>
      <c r="R861" s="413"/>
      <c r="S861" s="413"/>
      <c r="T861" s="413"/>
      <c r="U861" s="413"/>
      <c r="V861" s="413"/>
      <c r="W861" s="413"/>
      <c r="X861" s="413"/>
      <c r="Y861" s="413"/>
      <c r="Z861" s="413"/>
    </row>
    <row r="862" ht="12.0" customHeight="1">
      <c r="A862" s="413"/>
      <c r="B862" s="413"/>
      <c r="C862" s="414"/>
      <c r="D862" s="414"/>
      <c r="E862" s="414"/>
      <c r="F862" s="414"/>
      <c r="G862" s="413"/>
      <c r="H862" s="413"/>
      <c r="I862" s="413"/>
      <c r="J862" s="413"/>
      <c r="K862" s="413"/>
      <c r="L862" s="413"/>
      <c r="M862" s="413"/>
      <c r="N862" s="413"/>
      <c r="O862" s="413"/>
      <c r="P862" s="413"/>
      <c r="Q862" s="413"/>
      <c r="R862" s="413"/>
      <c r="S862" s="413"/>
      <c r="T862" s="413"/>
      <c r="U862" s="413"/>
      <c r="V862" s="413"/>
      <c r="W862" s="413"/>
      <c r="X862" s="413"/>
      <c r="Y862" s="413"/>
      <c r="Z862" s="413"/>
    </row>
    <row r="863" ht="12.0" customHeight="1">
      <c r="A863" s="413"/>
      <c r="B863" s="413"/>
      <c r="C863" s="414"/>
      <c r="D863" s="414"/>
      <c r="E863" s="414"/>
      <c r="F863" s="414"/>
      <c r="G863" s="413"/>
      <c r="H863" s="413"/>
      <c r="I863" s="413"/>
      <c r="J863" s="413"/>
      <c r="K863" s="413"/>
      <c r="L863" s="413"/>
      <c r="M863" s="413"/>
      <c r="N863" s="413"/>
      <c r="O863" s="413"/>
      <c r="P863" s="413"/>
      <c r="Q863" s="413"/>
      <c r="R863" s="413"/>
      <c r="S863" s="413"/>
      <c r="T863" s="413"/>
      <c r="U863" s="413"/>
      <c r="V863" s="413"/>
      <c r="W863" s="413"/>
      <c r="X863" s="413"/>
      <c r="Y863" s="413"/>
      <c r="Z863" s="413"/>
    </row>
    <row r="864" ht="12.0" customHeight="1">
      <c r="A864" s="413"/>
      <c r="B864" s="413"/>
      <c r="C864" s="414"/>
      <c r="D864" s="414"/>
      <c r="E864" s="414"/>
      <c r="F864" s="414"/>
      <c r="G864" s="413"/>
      <c r="H864" s="413"/>
      <c r="I864" s="413"/>
      <c r="J864" s="413"/>
      <c r="K864" s="413"/>
      <c r="L864" s="413"/>
      <c r="M864" s="413"/>
      <c r="N864" s="413"/>
      <c r="O864" s="413"/>
      <c r="P864" s="413"/>
      <c r="Q864" s="413"/>
      <c r="R864" s="413"/>
      <c r="S864" s="413"/>
      <c r="T864" s="413"/>
      <c r="U864" s="413"/>
      <c r="V864" s="413"/>
      <c r="W864" s="413"/>
      <c r="X864" s="413"/>
      <c r="Y864" s="413"/>
      <c r="Z864" s="413"/>
    </row>
    <row r="865" ht="12.0" customHeight="1">
      <c r="A865" s="413"/>
      <c r="B865" s="413"/>
      <c r="C865" s="414"/>
      <c r="D865" s="414"/>
      <c r="E865" s="414"/>
      <c r="F865" s="414"/>
      <c r="G865" s="413"/>
      <c r="H865" s="413"/>
      <c r="I865" s="413"/>
      <c r="J865" s="413"/>
      <c r="K865" s="413"/>
      <c r="L865" s="413"/>
      <c r="M865" s="413"/>
      <c r="N865" s="413"/>
      <c r="O865" s="413"/>
      <c r="P865" s="413"/>
      <c r="Q865" s="413"/>
      <c r="R865" s="413"/>
      <c r="S865" s="413"/>
      <c r="T865" s="413"/>
      <c r="U865" s="413"/>
      <c r="V865" s="413"/>
      <c r="W865" s="413"/>
      <c r="X865" s="413"/>
      <c r="Y865" s="413"/>
      <c r="Z865" s="413"/>
    </row>
    <row r="866" ht="12.0" customHeight="1">
      <c r="A866" s="413"/>
      <c r="B866" s="413"/>
      <c r="C866" s="414"/>
      <c r="D866" s="414"/>
      <c r="E866" s="414"/>
      <c r="F866" s="414"/>
      <c r="G866" s="413"/>
      <c r="H866" s="413"/>
      <c r="I866" s="413"/>
      <c r="J866" s="413"/>
      <c r="K866" s="413"/>
      <c r="L866" s="413"/>
      <c r="M866" s="413"/>
      <c r="N866" s="413"/>
      <c r="O866" s="413"/>
      <c r="P866" s="413"/>
      <c r="Q866" s="413"/>
      <c r="R866" s="413"/>
      <c r="S866" s="413"/>
      <c r="T866" s="413"/>
      <c r="U866" s="413"/>
      <c r="V866" s="413"/>
      <c r="W866" s="413"/>
      <c r="X866" s="413"/>
      <c r="Y866" s="413"/>
      <c r="Z866" s="413"/>
    </row>
    <row r="867" ht="12.0" customHeight="1">
      <c r="A867" s="413"/>
      <c r="B867" s="413"/>
      <c r="C867" s="414"/>
      <c r="D867" s="414"/>
      <c r="E867" s="414"/>
      <c r="F867" s="414"/>
      <c r="G867" s="413"/>
      <c r="H867" s="413"/>
      <c r="I867" s="413"/>
      <c r="J867" s="413"/>
      <c r="K867" s="413"/>
      <c r="L867" s="413"/>
      <c r="M867" s="413"/>
      <c r="N867" s="413"/>
      <c r="O867" s="413"/>
      <c r="P867" s="413"/>
      <c r="Q867" s="413"/>
      <c r="R867" s="413"/>
      <c r="S867" s="413"/>
      <c r="T867" s="413"/>
      <c r="U867" s="413"/>
      <c r="V867" s="413"/>
      <c r="W867" s="413"/>
      <c r="X867" s="413"/>
      <c r="Y867" s="413"/>
      <c r="Z867" s="413"/>
    </row>
    <row r="868" ht="12.0" customHeight="1">
      <c r="A868" s="413"/>
      <c r="B868" s="413"/>
      <c r="C868" s="414"/>
      <c r="D868" s="414"/>
      <c r="E868" s="414"/>
      <c r="F868" s="414"/>
      <c r="G868" s="413"/>
      <c r="H868" s="413"/>
      <c r="I868" s="413"/>
      <c r="J868" s="413"/>
      <c r="K868" s="413"/>
      <c r="L868" s="413"/>
      <c r="M868" s="413"/>
      <c r="N868" s="413"/>
      <c r="O868" s="413"/>
      <c r="P868" s="413"/>
      <c r="Q868" s="413"/>
      <c r="R868" s="413"/>
      <c r="S868" s="413"/>
      <c r="T868" s="413"/>
      <c r="U868" s="413"/>
      <c r="V868" s="413"/>
      <c r="W868" s="413"/>
      <c r="X868" s="413"/>
      <c r="Y868" s="413"/>
      <c r="Z868" s="413"/>
    </row>
    <row r="869" ht="12.0" customHeight="1">
      <c r="A869" s="413"/>
      <c r="B869" s="413"/>
      <c r="C869" s="414"/>
      <c r="D869" s="414"/>
      <c r="E869" s="414"/>
      <c r="F869" s="414"/>
      <c r="G869" s="413"/>
      <c r="H869" s="413"/>
      <c r="I869" s="413"/>
      <c r="J869" s="413"/>
      <c r="K869" s="413"/>
      <c r="L869" s="413"/>
      <c r="M869" s="413"/>
      <c r="N869" s="413"/>
      <c r="O869" s="413"/>
      <c r="P869" s="413"/>
      <c r="Q869" s="413"/>
      <c r="R869" s="413"/>
      <c r="S869" s="413"/>
      <c r="T869" s="413"/>
      <c r="U869" s="413"/>
      <c r="V869" s="413"/>
      <c r="W869" s="413"/>
      <c r="X869" s="413"/>
      <c r="Y869" s="413"/>
      <c r="Z869" s="413"/>
    </row>
    <row r="870" ht="12.0" customHeight="1">
      <c r="A870" s="413"/>
      <c r="B870" s="413"/>
      <c r="C870" s="414"/>
      <c r="D870" s="414"/>
      <c r="E870" s="414"/>
      <c r="F870" s="414"/>
      <c r="G870" s="413"/>
      <c r="H870" s="413"/>
      <c r="I870" s="413"/>
      <c r="J870" s="413"/>
      <c r="K870" s="413"/>
      <c r="L870" s="413"/>
      <c r="M870" s="413"/>
      <c r="N870" s="413"/>
      <c r="O870" s="413"/>
      <c r="P870" s="413"/>
      <c r="Q870" s="413"/>
      <c r="R870" s="413"/>
      <c r="S870" s="413"/>
      <c r="T870" s="413"/>
      <c r="U870" s="413"/>
      <c r="V870" s="413"/>
      <c r="W870" s="413"/>
      <c r="X870" s="413"/>
      <c r="Y870" s="413"/>
      <c r="Z870" s="413"/>
    </row>
    <row r="871" ht="12.0" customHeight="1">
      <c r="A871" s="413"/>
      <c r="B871" s="413"/>
      <c r="C871" s="414"/>
      <c r="D871" s="414"/>
      <c r="E871" s="414"/>
      <c r="F871" s="414"/>
      <c r="G871" s="413"/>
      <c r="H871" s="413"/>
      <c r="I871" s="413"/>
      <c r="J871" s="413"/>
      <c r="K871" s="413"/>
      <c r="L871" s="413"/>
      <c r="M871" s="413"/>
      <c r="N871" s="413"/>
      <c r="O871" s="413"/>
      <c r="P871" s="413"/>
      <c r="Q871" s="413"/>
      <c r="R871" s="413"/>
      <c r="S871" s="413"/>
      <c r="T871" s="413"/>
      <c r="U871" s="413"/>
      <c r="V871" s="413"/>
      <c r="W871" s="413"/>
      <c r="X871" s="413"/>
      <c r="Y871" s="413"/>
      <c r="Z871" s="413"/>
    </row>
    <row r="872" ht="12.0" customHeight="1">
      <c r="A872" s="413"/>
      <c r="B872" s="413"/>
      <c r="C872" s="414"/>
      <c r="D872" s="414"/>
      <c r="E872" s="414"/>
      <c r="F872" s="414"/>
      <c r="G872" s="413"/>
      <c r="H872" s="413"/>
      <c r="I872" s="413"/>
      <c r="J872" s="413"/>
      <c r="K872" s="413"/>
      <c r="L872" s="413"/>
      <c r="M872" s="413"/>
      <c r="N872" s="413"/>
      <c r="O872" s="413"/>
      <c r="P872" s="413"/>
      <c r="Q872" s="413"/>
      <c r="R872" s="413"/>
      <c r="S872" s="413"/>
      <c r="T872" s="413"/>
      <c r="U872" s="413"/>
      <c r="V872" s="413"/>
      <c r="W872" s="413"/>
      <c r="X872" s="413"/>
      <c r="Y872" s="413"/>
      <c r="Z872" s="413"/>
    </row>
    <row r="873" ht="12.0" customHeight="1">
      <c r="A873" s="413"/>
      <c r="B873" s="413"/>
      <c r="C873" s="414"/>
      <c r="D873" s="414"/>
      <c r="E873" s="414"/>
      <c r="F873" s="414"/>
      <c r="G873" s="413"/>
      <c r="H873" s="413"/>
      <c r="I873" s="413"/>
      <c r="J873" s="413"/>
      <c r="K873" s="413"/>
      <c r="L873" s="413"/>
      <c r="M873" s="413"/>
      <c r="N873" s="413"/>
      <c r="O873" s="413"/>
      <c r="P873" s="413"/>
      <c r="Q873" s="413"/>
      <c r="R873" s="413"/>
      <c r="S873" s="413"/>
      <c r="T873" s="413"/>
      <c r="U873" s="413"/>
      <c r="V873" s="413"/>
      <c r="W873" s="413"/>
      <c r="X873" s="413"/>
      <c r="Y873" s="413"/>
      <c r="Z873" s="413"/>
    </row>
    <row r="874" ht="12.0" customHeight="1">
      <c r="A874" s="413"/>
      <c r="B874" s="413"/>
      <c r="C874" s="414"/>
      <c r="D874" s="414"/>
      <c r="E874" s="414"/>
      <c r="F874" s="414"/>
      <c r="G874" s="413"/>
      <c r="H874" s="413"/>
      <c r="I874" s="413"/>
      <c r="J874" s="413"/>
      <c r="K874" s="413"/>
      <c r="L874" s="413"/>
      <c r="M874" s="413"/>
      <c r="N874" s="413"/>
      <c r="O874" s="413"/>
      <c r="P874" s="413"/>
      <c r="Q874" s="413"/>
      <c r="R874" s="413"/>
      <c r="S874" s="413"/>
      <c r="T874" s="413"/>
      <c r="U874" s="413"/>
      <c r="V874" s="413"/>
      <c r="W874" s="413"/>
      <c r="X874" s="413"/>
      <c r="Y874" s="413"/>
      <c r="Z874" s="413"/>
    </row>
    <row r="875" ht="12.0" customHeight="1">
      <c r="A875" s="413"/>
      <c r="B875" s="413"/>
      <c r="C875" s="414"/>
      <c r="D875" s="414"/>
      <c r="E875" s="414"/>
      <c r="F875" s="414"/>
      <c r="G875" s="413"/>
      <c r="H875" s="413"/>
      <c r="I875" s="413"/>
      <c r="J875" s="413"/>
      <c r="K875" s="413"/>
      <c r="L875" s="413"/>
      <c r="M875" s="413"/>
      <c r="N875" s="413"/>
      <c r="O875" s="413"/>
      <c r="P875" s="413"/>
      <c r="Q875" s="413"/>
      <c r="R875" s="413"/>
      <c r="S875" s="413"/>
      <c r="T875" s="413"/>
      <c r="U875" s="413"/>
      <c r="V875" s="413"/>
      <c r="W875" s="413"/>
      <c r="X875" s="413"/>
      <c r="Y875" s="413"/>
      <c r="Z875" s="413"/>
    </row>
    <row r="876" ht="12.0" customHeight="1">
      <c r="A876" s="413"/>
      <c r="B876" s="413"/>
      <c r="C876" s="414"/>
      <c r="D876" s="414"/>
      <c r="E876" s="414"/>
      <c r="F876" s="414"/>
      <c r="G876" s="413"/>
      <c r="H876" s="413"/>
      <c r="I876" s="413"/>
      <c r="J876" s="413"/>
      <c r="K876" s="413"/>
      <c r="L876" s="413"/>
      <c r="M876" s="413"/>
      <c r="N876" s="413"/>
      <c r="O876" s="413"/>
      <c r="P876" s="413"/>
      <c r="Q876" s="413"/>
      <c r="R876" s="413"/>
      <c r="S876" s="413"/>
      <c r="T876" s="413"/>
      <c r="U876" s="413"/>
      <c r="V876" s="413"/>
      <c r="W876" s="413"/>
      <c r="X876" s="413"/>
      <c r="Y876" s="413"/>
      <c r="Z876" s="413"/>
    </row>
    <row r="877" ht="12.0" customHeight="1">
      <c r="A877" s="413"/>
      <c r="B877" s="413"/>
      <c r="C877" s="414"/>
      <c r="D877" s="414"/>
      <c r="E877" s="414"/>
      <c r="F877" s="414"/>
      <c r="G877" s="413"/>
      <c r="H877" s="413"/>
      <c r="I877" s="413"/>
      <c r="J877" s="413"/>
      <c r="K877" s="413"/>
      <c r="L877" s="413"/>
      <c r="M877" s="413"/>
      <c r="N877" s="413"/>
      <c r="O877" s="413"/>
      <c r="P877" s="413"/>
      <c r="Q877" s="413"/>
      <c r="R877" s="413"/>
      <c r="S877" s="413"/>
      <c r="T877" s="413"/>
      <c r="U877" s="413"/>
      <c r="V877" s="413"/>
      <c r="W877" s="413"/>
      <c r="X877" s="413"/>
      <c r="Y877" s="413"/>
      <c r="Z877" s="413"/>
    </row>
    <row r="878" ht="12.0" customHeight="1">
      <c r="A878" s="413"/>
      <c r="B878" s="413"/>
      <c r="C878" s="414"/>
      <c r="D878" s="414"/>
      <c r="E878" s="414"/>
      <c r="F878" s="414"/>
      <c r="G878" s="413"/>
      <c r="H878" s="413"/>
      <c r="I878" s="413"/>
      <c r="J878" s="413"/>
      <c r="K878" s="413"/>
      <c r="L878" s="413"/>
      <c r="M878" s="413"/>
      <c r="N878" s="413"/>
      <c r="O878" s="413"/>
      <c r="P878" s="413"/>
      <c r="Q878" s="413"/>
      <c r="R878" s="413"/>
      <c r="S878" s="413"/>
      <c r="T878" s="413"/>
      <c r="U878" s="413"/>
      <c r="V878" s="413"/>
      <c r="W878" s="413"/>
      <c r="X878" s="413"/>
      <c r="Y878" s="413"/>
      <c r="Z878" s="413"/>
    </row>
    <row r="879" ht="12.0" customHeight="1">
      <c r="A879" s="413"/>
      <c r="B879" s="413"/>
      <c r="C879" s="414"/>
      <c r="D879" s="414"/>
      <c r="E879" s="414"/>
      <c r="F879" s="414"/>
      <c r="G879" s="413"/>
      <c r="H879" s="413"/>
      <c r="I879" s="413"/>
      <c r="J879" s="413"/>
      <c r="K879" s="413"/>
      <c r="L879" s="413"/>
      <c r="M879" s="413"/>
      <c r="N879" s="413"/>
      <c r="O879" s="413"/>
      <c r="P879" s="413"/>
      <c r="Q879" s="413"/>
      <c r="R879" s="413"/>
      <c r="S879" s="413"/>
      <c r="T879" s="413"/>
      <c r="U879" s="413"/>
      <c r="V879" s="413"/>
      <c r="W879" s="413"/>
      <c r="X879" s="413"/>
      <c r="Y879" s="413"/>
      <c r="Z879" s="413"/>
    </row>
    <row r="880" ht="12.0" customHeight="1">
      <c r="A880" s="413"/>
      <c r="B880" s="413"/>
      <c r="C880" s="414"/>
      <c r="D880" s="414"/>
      <c r="E880" s="414"/>
      <c r="F880" s="414"/>
      <c r="G880" s="413"/>
      <c r="H880" s="413"/>
      <c r="I880" s="413"/>
      <c r="J880" s="413"/>
      <c r="K880" s="413"/>
      <c r="L880" s="413"/>
      <c r="M880" s="413"/>
      <c r="N880" s="413"/>
      <c r="O880" s="413"/>
      <c r="P880" s="413"/>
      <c r="Q880" s="413"/>
      <c r="R880" s="413"/>
      <c r="S880" s="413"/>
      <c r="T880" s="413"/>
      <c r="U880" s="413"/>
      <c r="V880" s="413"/>
      <c r="W880" s="413"/>
      <c r="X880" s="413"/>
      <c r="Y880" s="413"/>
      <c r="Z880" s="413"/>
    </row>
    <row r="881" ht="12.0" customHeight="1">
      <c r="A881" s="413"/>
      <c r="B881" s="413"/>
      <c r="C881" s="414"/>
      <c r="D881" s="414"/>
      <c r="E881" s="414"/>
      <c r="F881" s="414"/>
      <c r="G881" s="413"/>
      <c r="H881" s="413"/>
      <c r="I881" s="413"/>
      <c r="J881" s="413"/>
      <c r="K881" s="413"/>
      <c r="L881" s="413"/>
      <c r="M881" s="413"/>
      <c r="N881" s="413"/>
      <c r="O881" s="413"/>
      <c r="P881" s="413"/>
      <c r="Q881" s="413"/>
      <c r="R881" s="413"/>
      <c r="S881" s="413"/>
      <c r="T881" s="413"/>
      <c r="U881" s="413"/>
      <c r="V881" s="413"/>
      <c r="W881" s="413"/>
      <c r="X881" s="413"/>
      <c r="Y881" s="413"/>
      <c r="Z881" s="413"/>
    </row>
    <row r="882" ht="12.0" customHeight="1">
      <c r="A882" s="413"/>
      <c r="B882" s="413"/>
      <c r="C882" s="414"/>
      <c r="D882" s="414"/>
      <c r="E882" s="414"/>
      <c r="F882" s="414"/>
      <c r="G882" s="413"/>
      <c r="H882" s="413"/>
      <c r="I882" s="413"/>
      <c r="J882" s="413"/>
      <c r="K882" s="413"/>
      <c r="L882" s="413"/>
      <c r="M882" s="413"/>
      <c r="N882" s="413"/>
      <c r="O882" s="413"/>
      <c r="P882" s="413"/>
      <c r="Q882" s="413"/>
      <c r="R882" s="413"/>
      <c r="S882" s="413"/>
      <c r="T882" s="413"/>
      <c r="U882" s="413"/>
      <c r="V882" s="413"/>
      <c r="W882" s="413"/>
      <c r="X882" s="413"/>
      <c r="Y882" s="413"/>
      <c r="Z882" s="413"/>
    </row>
    <row r="883" ht="12.0" customHeight="1">
      <c r="A883" s="413"/>
      <c r="B883" s="413"/>
      <c r="C883" s="414"/>
      <c r="D883" s="414"/>
      <c r="E883" s="414"/>
      <c r="F883" s="414"/>
      <c r="G883" s="413"/>
      <c r="H883" s="413"/>
      <c r="I883" s="413"/>
      <c r="J883" s="413"/>
      <c r="K883" s="413"/>
      <c r="L883" s="413"/>
      <c r="M883" s="413"/>
      <c r="N883" s="413"/>
      <c r="O883" s="413"/>
      <c r="P883" s="413"/>
      <c r="Q883" s="413"/>
      <c r="R883" s="413"/>
      <c r="S883" s="413"/>
      <c r="T883" s="413"/>
      <c r="U883" s="413"/>
      <c r="V883" s="413"/>
      <c r="W883" s="413"/>
      <c r="X883" s="413"/>
      <c r="Y883" s="413"/>
      <c r="Z883" s="413"/>
    </row>
    <row r="884" ht="12.0" customHeight="1">
      <c r="A884" s="413"/>
      <c r="B884" s="413"/>
      <c r="C884" s="414"/>
      <c r="D884" s="414"/>
      <c r="E884" s="414"/>
      <c r="F884" s="414"/>
      <c r="G884" s="413"/>
      <c r="H884" s="413"/>
      <c r="I884" s="413"/>
      <c r="J884" s="413"/>
      <c r="K884" s="413"/>
      <c r="L884" s="413"/>
      <c r="M884" s="413"/>
      <c r="N884" s="413"/>
      <c r="O884" s="413"/>
      <c r="P884" s="413"/>
      <c r="Q884" s="413"/>
      <c r="R884" s="413"/>
      <c r="S884" s="413"/>
      <c r="T884" s="413"/>
      <c r="U884" s="413"/>
      <c r="V884" s="413"/>
      <c r="W884" s="413"/>
      <c r="X884" s="413"/>
      <c r="Y884" s="413"/>
      <c r="Z884" s="413"/>
    </row>
    <row r="885" ht="12.0" customHeight="1">
      <c r="A885" s="413"/>
      <c r="B885" s="413"/>
      <c r="C885" s="414"/>
      <c r="D885" s="414"/>
      <c r="E885" s="414"/>
      <c r="F885" s="414"/>
      <c r="G885" s="413"/>
      <c r="H885" s="413"/>
      <c r="I885" s="413"/>
      <c r="J885" s="413"/>
      <c r="K885" s="413"/>
      <c r="L885" s="413"/>
      <c r="M885" s="413"/>
      <c r="N885" s="413"/>
      <c r="O885" s="413"/>
      <c r="P885" s="413"/>
      <c r="Q885" s="413"/>
      <c r="R885" s="413"/>
      <c r="S885" s="413"/>
      <c r="T885" s="413"/>
      <c r="U885" s="413"/>
      <c r="V885" s="413"/>
      <c r="W885" s="413"/>
      <c r="X885" s="413"/>
      <c r="Y885" s="413"/>
      <c r="Z885" s="413"/>
    </row>
    <row r="886" ht="12.0" customHeight="1">
      <c r="A886" s="413"/>
      <c r="B886" s="413"/>
      <c r="C886" s="414"/>
      <c r="D886" s="414"/>
      <c r="E886" s="414"/>
      <c r="F886" s="414"/>
      <c r="G886" s="413"/>
      <c r="H886" s="413"/>
      <c r="I886" s="413"/>
      <c r="J886" s="413"/>
      <c r="K886" s="413"/>
      <c r="L886" s="413"/>
      <c r="M886" s="413"/>
      <c r="N886" s="413"/>
      <c r="O886" s="413"/>
      <c r="P886" s="413"/>
      <c r="Q886" s="413"/>
      <c r="R886" s="413"/>
      <c r="S886" s="413"/>
      <c r="T886" s="413"/>
      <c r="U886" s="413"/>
      <c r="V886" s="413"/>
      <c r="W886" s="413"/>
      <c r="X886" s="413"/>
      <c r="Y886" s="413"/>
      <c r="Z886" s="413"/>
    </row>
    <row r="887" ht="12.0" customHeight="1">
      <c r="A887" s="413"/>
      <c r="B887" s="413"/>
      <c r="C887" s="414"/>
      <c r="D887" s="414"/>
      <c r="E887" s="414"/>
      <c r="F887" s="414"/>
      <c r="G887" s="413"/>
      <c r="H887" s="413"/>
      <c r="I887" s="413"/>
      <c r="J887" s="413"/>
      <c r="K887" s="413"/>
      <c r="L887" s="413"/>
      <c r="M887" s="413"/>
      <c r="N887" s="413"/>
      <c r="O887" s="413"/>
      <c r="P887" s="413"/>
      <c r="Q887" s="413"/>
      <c r="R887" s="413"/>
      <c r="S887" s="413"/>
      <c r="T887" s="413"/>
      <c r="U887" s="413"/>
      <c r="V887" s="413"/>
      <c r="W887" s="413"/>
      <c r="X887" s="413"/>
      <c r="Y887" s="413"/>
      <c r="Z887" s="413"/>
    </row>
    <row r="888" ht="12.0" customHeight="1">
      <c r="A888" s="413"/>
      <c r="B888" s="413"/>
      <c r="C888" s="414"/>
      <c r="D888" s="414"/>
      <c r="E888" s="414"/>
      <c r="F888" s="414"/>
      <c r="G888" s="413"/>
      <c r="H888" s="413"/>
      <c r="I888" s="413"/>
      <c r="J888" s="413"/>
      <c r="K888" s="413"/>
      <c r="L888" s="413"/>
      <c r="M888" s="413"/>
      <c r="N888" s="413"/>
      <c r="O888" s="413"/>
      <c r="P888" s="413"/>
      <c r="Q888" s="413"/>
      <c r="R888" s="413"/>
      <c r="S888" s="413"/>
      <c r="T888" s="413"/>
      <c r="U888" s="413"/>
      <c r="V888" s="413"/>
      <c r="W888" s="413"/>
      <c r="X888" s="413"/>
      <c r="Y888" s="413"/>
      <c r="Z888" s="413"/>
    </row>
    <row r="889" ht="12.0" customHeight="1">
      <c r="A889" s="413"/>
      <c r="B889" s="413"/>
      <c r="C889" s="414"/>
      <c r="D889" s="414"/>
      <c r="E889" s="414"/>
      <c r="F889" s="414"/>
      <c r="G889" s="413"/>
      <c r="H889" s="413"/>
      <c r="I889" s="413"/>
      <c r="J889" s="413"/>
      <c r="K889" s="413"/>
      <c r="L889" s="413"/>
      <c r="M889" s="413"/>
      <c r="N889" s="413"/>
      <c r="O889" s="413"/>
      <c r="P889" s="413"/>
      <c r="Q889" s="413"/>
      <c r="R889" s="413"/>
      <c r="S889" s="413"/>
      <c r="T889" s="413"/>
      <c r="U889" s="413"/>
      <c r="V889" s="413"/>
      <c r="W889" s="413"/>
      <c r="X889" s="413"/>
      <c r="Y889" s="413"/>
      <c r="Z889" s="413"/>
    </row>
    <row r="890" ht="12.0" customHeight="1">
      <c r="A890" s="413"/>
      <c r="B890" s="413"/>
      <c r="C890" s="414"/>
      <c r="D890" s="414"/>
      <c r="E890" s="414"/>
      <c r="F890" s="414"/>
      <c r="G890" s="413"/>
      <c r="H890" s="413"/>
      <c r="I890" s="413"/>
      <c r="J890" s="413"/>
      <c r="K890" s="413"/>
      <c r="L890" s="413"/>
      <c r="M890" s="413"/>
      <c r="N890" s="413"/>
      <c r="O890" s="413"/>
      <c r="P890" s="413"/>
      <c r="Q890" s="413"/>
      <c r="R890" s="413"/>
      <c r="S890" s="413"/>
      <c r="T890" s="413"/>
      <c r="U890" s="413"/>
      <c r="V890" s="413"/>
      <c r="W890" s="413"/>
      <c r="X890" s="413"/>
      <c r="Y890" s="413"/>
      <c r="Z890" s="413"/>
    </row>
    <row r="891" ht="12.0" customHeight="1">
      <c r="A891" s="413"/>
      <c r="B891" s="413"/>
      <c r="C891" s="414"/>
      <c r="D891" s="414"/>
      <c r="E891" s="414"/>
      <c r="F891" s="414"/>
      <c r="G891" s="413"/>
      <c r="H891" s="413"/>
      <c r="I891" s="413"/>
      <c r="J891" s="413"/>
      <c r="K891" s="413"/>
      <c r="L891" s="413"/>
      <c r="M891" s="413"/>
      <c r="N891" s="413"/>
      <c r="O891" s="413"/>
      <c r="P891" s="413"/>
      <c r="Q891" s="413"/>
      <c r="R891" s="413"/>
      <c r="S891" s="413"/>
      <c r="T891" s="413"/>
      <c r="U891" s="413"/>
      <c r="V891" s="413"/>
      <c r="W891" s="413"/>
      <c r="X891" s="413"/>
      <c r="Y891" s="413"/>
      <c r="Z891" s="413"/>
    </row>
    <row r="892" ht="12.0" customHeight="1">
      <c r="A892" s="413"/>
      <c r="B892" s="413"/>
      <c r="C892" s="414"/>
      <c r="D892" s="414"/>
      <c r="E892" s="414"/>
      <c r="F892" s="414"/>
      <c r="G892" s="413"/>
      <c r="H892" s="413"/>
      <c r="I892" s="413"/>
      <c r="J892" s="413"/>
      <c r="K892" s="413"/>
      <c r="L892" s="413"/>
      <c r="M892" s="413"/>
      <c r="N892" s="413"/>
      <c r="O892" s="413"/>
      <c r="P892" s="413"/>
      <c r="Q892" s="413"/>
      <c r="R892" s="413"/>
      <c r="S892" s="413"/>
      <c r="T892" s="413"/>
      <c r="U892" s="413"/>
      <c r="V892" s="413"/>
      <c r="W892" s="413"/>
      <c r="X892" s="413"/>
      <c r="Y892" s="413"/>
      <c r="Z892" s="413"/>
    </row>
    <row r="893" ht="12.0" customHeight="1">
      <c r="A893" s="413"/>
      <c r="B893" s="413"/>
      <c r="C893" s="414"/>
      <c r="D893" s="414"/>
      <c r="E893" s="414"/>
      <c r="F893" s="414"/>
      <c r="G893" s="413"/>
      <c r="H893" s="413"/>
      <c r="I893" s="413"/>
      <c r="J893" s="413"/>
      <c r="K893" s="413"/>
      <c r="L893" s="413"/>
      <c r="M893" s="413"/>
      <c r="N893" s="413"/>
      <c r="O893" s="413"/>
      <c r="P893" s="413"/>
      <c r="Q893" s="413"/>
      <c r="R893" s="413"/>
      <c r="S893" s="413"/>
      <c r="T893" s="413"/>
      <c r="U893" s="413"/>
      <c r="V893" s="413"/>
      <c r="W893" s="413"/>
      <c r="X893" s="413"/>
      <c r="Y893" s="413"/>
      <c r="Z893" s="413"/>
    </row>
    <row r="894" ht="12.0" customHeight="1">
      <c r="A894" s="413"/>
      <c r="B894" s="413"/>
      <c r="C894" s="414"/>
      <c r="D894" s="414"/>
      <c r="E894" s="414"/>
      <c r="F894" s="414"/>
      <c r="G894" s="413"/>
      <c r="H894" s="413"/>
      <c r="I894" s="413"/>
      <c r="J894" s="413"/>
      <c r="K894" s="413"/>
      <c r="L894" s="413"/>
      <c r="M894" s="413"/>
      <c r="N894" s="413"/>
      <c r="O894" s="413"/>
      <c r="P894" s="413"/>
      <c r="Q894" s="413"/>
      <c r="R894" s="413"/>
      <c r="S894" s="413"/>
      <c r="T894" s="413"/>
      <c r="U894" s="413"/>
      <c r="V894" s="413"/>
      <c r="W894" s="413"/>
      <c r="X894" s="413"/>
      <c r="Y894" s="413"/>
      <c r="Z894" s="413"/>
    </row>
    <row r="895" ht="12.0" customHeight="1">
      <c r="A895" s="413"/>
      <c r="B895" s="413"/>
      <c r="C895" s="414"/>
      <c r="D895" s="414"/>
      <c r="E895" s="414"/>
      <c r="F895" s="414"/>
      <c r="G895" s="413"/>
      <c r="H895" s="413"/>
      <c r="I895" s="413"/>
      <c r="J895" s="413"/>
      <c r="K895" s="413"/>
      <c r="L895" s="413"/>
      <c r="M895" s="413"/>
      <c r="N895" s="413"/>
      <c r="O895" s="413"/>
      <c r="P895" s="413"/>
      <c r="Q895" s="413"/>
      <c r="R895" s="413"/>
      <c r="S895" s="413"/>
      <c r="T895" s="413"/>
      <c r="U895" s="413"/>
      <c r="V895" s="413"/>
      <c r="W895" s="413"/>
      <c r="X895" s="413"/>
      <c r="Y895" s="413"/>
      <c r="Z895" s="413"/>
    </row>
    <row r="896" ht="12.0" customHeight="1">
      <c r="A896" s="413"/>
      <c r="B896" s="413"/>
      <c r="C896" s="414"/>
      <c r="D896" s="414"/>
      <c r="E896" s="414"/>
      <c r="F896" s="414"/>
      <c r="G896" s="413"/>
      <c r="H896" s="413"/>
      <c r="I896" s="413"/>
      <c r="J896" s="413"/>
      <c r="K896" s="413"/>
      <c r="L896" s="413"/>
      <c r="M896" s="413"/>
      <c r="N896" s="413"/>
      <c r="O896" s="413"/>
      <c r="P896" s="413"/>
      <c r="Q896" s="413"/>
      <c r="R896" s="413"/>
      <c r="S896" s="413"/>
      <c r="T896" s="413"/>
      <c r="U896" s="413"/>
      <c r="V896" s="413"/>
      <c r="W896" s="413"/>
      <c r="X896" s="413"/>
      <c r="Y896" s="413"/>
      <c r="Z896" s="413"/>
    </row>
    <row r="897" ht="12.0" customHeight="1">
      <c r="A897" s="413"/>
      <c r="B897" s="413"/>
      <c r="C897" s="414"/>
      <c r="D897" s="414"/>
      <c r="E897" s="414"/>
      <c r="F897" s="414"/>
      <c r="G897" s="413"/>
      <c r="H897" s="413"/>
      <c r="I897" s="413"/>
      <c r="J897" s="413"/>
      <c r="K897" s="413"/>
      <c r="L897" s="413"/>
      <c r="M897" s="413"/>
      <c r="N897" s="413"/>
      <c r="O897" s="413"/>
      <c r="P897" s="413"/>
      <c r="Q897" s="413"/>
      <c r="R897" s="413"/>
      <c r="S897" s="413"/>
      <c r="T897" s="413"/>
      <c r="U897" s="413"/>
      <c r="V897" s="413"/>
      <c r="W897" s="413"/>
      <c r="X897" s="413"/>
      <c r="Y897" s="413"/>
      <c r="Z897" s="413"/>
    </row>
    <row r="898" ht="12.0" customHeight="1">
      <c r="A898" s="413"/>
      <c r="B898" s="413"/>
      <c r="C898" s="414"/>
      <c r="D898" s="414"/>
      <c r="E898" s="414"/>
      <c r="F898" s="414"/>
      <c r="G898" s="413"/>
      <c r="H898" s="413"/>
      <c r="I898" s="413"/>
      <c r="J898" s="413"/>
      <c r="K898" s="413"/>
      <c r="L898" s="413"/>
      <c r="M898" s="413"/>
      <c r="N898" s="413"/>
      <c r="O898" s="413"/>
      <c r="P898" s="413"/>
      <c r="Q898" s="413"/>
      <c r="R898" s="413"/>
      <c r="S898" s="413"/>
      <c r="T898" s="413"/>
      <c r="U898" s="413"/>
      <c r="V898" s="413"/>
      <c r="W898" s="413"/>
      <c r="X898" s="413"/>
      <c r="Y898" s="413"/>
      <c r="Z898" s="413"/>
    </row>
    <row r="899" ht="12.0" customHeight="1">
      <c r="A899" s="413"/>
      <c r="B899" s="413"/>
      <c r="C899" s="414"/>
      <c r="D899" s="414"/>
      <c r="E899" s="414"/>
      <c r="F899" s="414"/>
      <c r="G899" s="413"/>
      <c r="H899" s="413"/>
      <c r="I899" s="413"/>
      <c r="J899" s="413"/>
      <c r="K899" s="413"/>
      <c r="L899" s="413"/>
      <c r="M899" s="413"/>
      <c r="N899" s="413"/>
      <c r="O899" s="413"/>
      <c r="P899" s="413"/>
      <c r="Q899" s="413"/>
      <c r="R899" s="413"/>
      <c r="S899" s="413"/>
      <c r="T899" s="413"/>
      <c r="U899" s="413"/>
      <c r="V899" s="413"/>
      <c r="W899" s="413"/>
      <c r="X899" s="413"/>
      <c r="Y899" s="413"/>
      <c r="Z899" s="413"/>
    </row>
    <row r="900" ht="12.0" customHeight="1">
      <c r="A900" s="413"/>
      <c r="B900" s="413"/>
      <c r="C900" s="414"/>
      <c r="D900" s="414"/>
      <c r="E900" s="414"/>
      <c r="F900" s="414"/>
      <c r="G900" s="413"/>
      <c r="H900" s="413"/>
      <c r="I900" s="413"/>
      <c r="J900" s="413"/>
      <c r="K900" s="413"/>
      <c r="L900" s="413"/>
      <c r="M900" s="413"/>
      <c r="N900" s="413"/>
      <c r="O900" s="413"/>
      <c r="P900" s="413"/>
      <c r="Q900" s="413"/>
      <c r="R900" s="413"/>
      <c r="S900" s="413"/>
      <c r="T900" s="413"/>
      <c r="U900" s="413"/>
      <c r="V900" s="413"/>
      <c r="W900" s="413"/>
      <c r="X900" s="413"/>
      <c r="Y900" s="413"/>
      <c r="Z900" s="413"/>
    </row>
    <row r="901" ht="12.0" customHeight="1">
      <c r="A901" s="413"/>
      <c r="B901" s="413"/>
      <c r="C901" s="414"/>
      <c r="D901" s="414"/>
      <c r="E901" s="414"/>
      <c r="F901" s="414"/>
      <c r="G901" s="413"/>
      <c r="H901" s="413"/>
      <c r="I901" s="413"/>
      <c r="J901" s="413"/>
      <c r="K901" s="413"/>
      <c r="L901" s="413"/>
      <c r="M901" s="413"/>
      <c r="N901" s="413"/>
      <c r="O901" s="413"/>
      <c r="P901" s="413"/>
      <c r="Q901" s="413"/>
      <c r="R901" s="413"/>
      <c r="S901" s="413"/>
      <c r="T901" s="413"/>
      <c r="U901" s="413"/>
      <c r="V901" s="413"/>
      <c r="W901" s="413"/>
      <c r="X901" s="413"/>
      <c r="Y901" s="413"/>
      <c r="Z901" s="413"/>
    </row>
    <row r="902" ht="12.0" customHeight="1">
      <c r="A902" s="413"/>
      <c r="B902" s="413"/>
      <c r="C902" s="414"/>
      <c r="D902" s="414"/>
      <c r="E902" s="414"/>
      <c r="F902" s="414"/>
      <c r="G902" s="413"/>
      <c r="H902" s="413"/>
      <c r="I902" s="413"/>
      <c r="J902" s="413"/>
      <c r="K902" s="413"/>
      <c r="L902" s="413"/>
      <c r="M902" s="413"/>
      <c r="N902" s="413"/>
      <c r="O902" s="413"/>
      <c r="P902" s="413"/>
      <c r="Q902" s="413"/>
      <c r="R902" s="413"/>
      <c r="S902" s="413"/>
      <c r="T902" s="413"/>
      <c r="U902" s="413"/>
      <c r="V902" s="413"/>
      <c r="W902" s="413"/>
      <c r="X902" s="413"/>
      <c r="Y902" s="413"/>
      <c r="Z902" s="413"/>
    </row>
    <row r="903" ht="12.0" customHeight="1">
      <c r="A903" s="413"/>
      <c r="B903" s="413"/>
      <c r="C903" s="414"/>
      <c r="D903" s="414"/>
      <c r="E903" s="414"/>
      <c r="F903" s="414"/>
      <c r="G903" s="413"/>
      <c r="H903" s="413"/>
      <c r="I903" s="413"/>
      <c r="J903" s="413"/>
      <c r="K903" s="413"/>
      <c r="L903" s="413"/>
      <c r="M903" s="413"/>
      <c r="N903" s="413"/>
      <c r="O903" s="413"/>
      <c r="P903" s="413"/>
      <c r="Q903" s="413"/>
      <c r="R903" s="413"/>
      <c r="S903" s="413"/>
      <c r="T903" s="413"/>
      <c r="U903" s="413"/>
      <c r="V903" s="413"/>
      <c r="W903" s="413"/>
      <c r="X903" s="413"/>
      <c r="Y903" s="413"/>
      <c r="Z903" s="413"/>
    </row>
    <row r="904" ht="12.0" customHeight="1">
      <c r="A904" s="413"/>
      <c r="B904" s="413"/>
      <c r="C904" s="414"/>
      <c r="D904" s="414"/>
      <c r="E904" s="414"/>
      <c r="F904" s="414"/>
      <c r="G904" s="413"/>
      <c r="H904" s="413"/>
      <c r="I904" s="413"/>
      <c r="J904" s="413"/>
      <c r="K904" s="413"/>
      <c r="L904" s="413"/>
      <c r="M904" s="413"/>
      <c r="N904" s="413"/>
      <c r="O904" s="413"/>
      <c r="P904" s="413"/>
      <c r="Q904" s="413"/>
      <c r="R904" s="413"/>
      <c r="S904" s="413"/>
      <c r="T904" s="413"/>
      <c r="U904" s="413"/>
      <c r="V904" s="413"/>
      <c r="W904" s="413"/>
      <c r="X904" s="413"/>
      <c r="Y904" s="413"/>
      <c r="Z904" s="413"/>
    </row>
    <row r="905" ht="12.0" customHeight="1">
      <c r="A905" s="413"/>
      <c r="B905" s="413"/>
      <c r="C905" s="414"/>
      <c r="D905" s="414"/>
      <c r="E905" s="414"/>
      <c r="F905" s="414"/>
      <c r="G905" s="413"/>
      <c r="H905" s="413"/>
      <c r="I905" s="413"/>
      <c r="J905" s="413"/>
      <c r="K905" s="413"/>
      <c r="L905" s="413"/>
      <c r="M905" s="413"/>
      <c r="N905" s="413"/>
      <c r="O905" s="413"/>
      <c r="P905" s="413"/>
      <c r="Q905" s="413"/>
      <c r="R905" s="413"/>
      <c r="S905" s="413"/>
      <c r="T905" s="413"/>
      <c r="U905" s="413"/>
      <c r="V905" s="413"/>
      <c r="W905" s="413"/>
      <c r="X905" s="413"/>
      <c r="Y905" s="413"/>
      <c r="Z905" s="413"/>
    </row>
    <row r="906" ht="12.0" customHeight="1">
      <c r="A906" s="413"/>
      <c r="B906" s="413"/>
      <c r="C906" s="414"/>
      <c r="D906" s="414"/>
      <c r="E906" s="414"/>
      <c r="F906" s="414"/>
      <c r="G906" s="413"/>
      <c r="H906" s="413"/>
      <c r="I906" s="413"/>
      <c r="J906" s="413"/>
      <c r="K906" s="413"/>
      <c r="L906" s="413"/>
      <c r="M906" s="413"/>
      <c r="N906" s="413"/>
      <c r="O906" s="413"/>
      <c r="P906" s="413"/>
      <c r="Q906" s="413"/>
      <c r="R906" s="413"/>
      <c r="S906" s="413"/>
      <c r="T906" s="413"/>
      <c r="U906" s="413"/>
      <c r="V906" s="413"/>
      <c r="W906" s="413"/>
      <c r="X906" s="413"/>
      <c r="Y906" s="413"/>
      <c r="Z906" s="413"/>
    </row>
    <row r="907" ht="12.0" customHeight="1">
      <c r="A907" s="413"/>
      <c r="B907" s="413"/>
      <c r="C907" s="414"/>
      <c r="D907" s="414"/>
      <c r="E907" s="414"/>
      <c r="F907" s="414"/>
      <c r="G907" s="413"/>
      <c r="H907" s="413"/>
      <c r="I907" s="413"/>
      <c r="J907" s="413"/>
      <c r="K907" s="413"/>
      <c r="L907" s="413"/>
      <c r="M907" s="413"/>
      <c r="N907" s="413"/>
      <c r="O907" s="413"/>
      <c r="P907" s="413"/>
      <c r="Q907" s="413"/>
      <c r="R907" s="413"/>
      <c r="S907" s="413"/>
      <c r="T907" s="413"/>
      <c r="U907" s="413"/>
      <c r="V907" s="413"/>
      <c r="W907" s="413"/>
      <c r="X907" s="413"/>
      <c r="Y907" s="413"/>
      <c r="Z907" s="413"/>
    </row>
    <row r="908" ht="12.0" customHeight="1">
      <c r="A908" s="413"/>
      <c r="B908" s="413"/>
      <c r="C908" s="414"/>
      <c r="D908" s="414"/>
      <c r="E908" s="414"/>
      <c r="F908" s="414"/>
      <c r="G908" s="413"/>
      <c r="H908" s="413"/>
      <c r="I908" s="413"/>
      <c r="J908" s="413"/>
      <c r="K908" s="413"/>
      <c r="L908" s="413"/>
      <c r="M908" s="413"/>
      <c r="N908" s="413"/>
      <c r="O908" s="413"/>
      <c r="P908" s="413"/>
      <c r="Q908" s="413"/>
      <c r="R908" s="413"/>
      <c r="S908" s="413"/>
      <c r="T908" s="413"/>
      <c r="U908" s="413"/>
      <c r="V908" s="413"/>
      <c r="W908" s="413"/>
      <c r="X908" s="413"/>
      <c r="Y908" s="413"/>
      <c r="Z908" s="413"/>
    </row>
    <row r="909" ht="12.0" customHeight="1">
      <c r="A909" s="413"/>
      <c r="B909" s="413"/>
      <c r="C909" s="414"/>
      <c r="D909" s="414"/>
      <c r="E909" s="414"/>
      <c r="F909" s="414"/>
      <c r="G909" s="413"/>
      <c r="H909" s="413"/>
      <c r="I909" s="413"/>
      <c r="J909" s="413"/>
      <c r="K909" s="413"/>
      <c r="L909" s="413"/>
      <c r="M909" s="413"/>
      <c r="N909" s="413"/>
      <c r="O909" s="413"/>
      <c r="P909" s="413"/>
      <c r="Q909" s="413"/>
      <c r="R909" s="413"/>
      <c r="S909" s="413"/>
      <c r="T909" s="413"/>
      <c r="U909" s="413"/>
      <c r="V909" s="413"/>
      <c r="W909" s="413"/>
      <c r="X909" s="413"/>
      <c r="Y909" s="413"/>
      <c r="Z909" s="413"/>
    </row>
    <row r="910" ht="12.0" customHeight="1">
      <c r="A910" s="413"/>
      <c r="B910" s="413"/>
      <c r="C910" s="414"/>
      <c r="D910" s="414"/>
      <c r="E910" s="414"/>
      <c r="F910" s="414"/>
      <c r="G910" s="413"/>
      <c r="H910" s="413"/>
      <c r="I910" s="413"/>
      <c r="J910" s="413"/>
      <c r="K910" s="413"/>
      <c r="L910" s="413"/>
      <c r="M910" s="413"/>
      <c r="N910" s="413"/>
      <c r="O910" s="413"/>
      <c r="P910" s="413"/>
      <c r="Q910" s="413"/>
      <c r="R910" s="413"/>
      <c r="S910" s="413"/>
      <c r="T910" s="413"/>
      <c r="U910" s="413"/>
      <c r="V910" s="413"/>
      <c r="W910" s="413"/>
      <c r="X910" s="413"/>
      <c r="Y910" s="413"/>
      <c r="Z910" s="413"/>
    </row>
    <row r="911" ht="12.0" customHeight="1">
      <c r="A911" s="413"/>
      <c r="B911" s="413"/>
      <c r="C911" s="414"/>
      <c r="D911" s="414"/>
      <c r="E911" s="414"/>
      <c r="F911" s="414"/>
      <c r="G911" s="413"/>
      <c r="H911" s="413"/>
      <c r="I911" s="413"/>
      <c r="J911" s="413"/>
      <c r="K911" s="413"/>
      <c r="L911" s="413"/>
      <c r="M911" s="413"/>
      <c r="N911" s="413"/>
      <c r="O911" s="413"/>
      <c r="P911" s="413"/>
      <c r="Q911" s="413"/>
      <c r="R911" s="413"/>
      <c r="S911" s="413"/>
      <c r="T911" s="413"/>
      <c r="U911" s="413"/>
      <c r="V911" s="413"/>
      <c r="W911" s="413"/>
      <c r="X911" s="413"/>
      <c r="Y911" s="413"/>
      <c r="Z911" s="413"/>
    </row>
    <row r="912" ht="12.0" customHeight="1">
      <c r="A912" s="413"/>
      <c r="B912" s="413"/>
      <c r="C912" s="414"/>
      <c r="D912" s="414"/>
      <c r="E912" s="414"/>
      <c r="F912" s="414"/>
      <c r="G912" s="413"/>
      <c r="H912" s="413"/>
      <c r="I912" s="413"/>
      <c r="J912" s="413"/>
      <c r="K912" s="413"/>
      <c r="L912" s="413"/>
      <c r="M912" s="413"/>
      <c r="N912" s="413"/>
      <c r="O912" s="413"/>
      <c r="P912" s="413"/>
      <c r="Q912" s="413"/>
      <c r="R912" s="413"/>
      <c r="S912" s="413"/>
      <c r="T912" s="413"/>
      <c r="U912" s="413"/>
      <c r="V912" s="413"/>
      <c r="W912" s="413"/>
      <c r="X912" s="413"/>
      <c r="Y912" s="413"/>
      <c r="Z912" s="413"/>
    </row>
    <row r="913" ht="12.0" customHeight="1">
      <c r="A913" s="413"/>
      <c r="B913" s="413"/>
      <c r="C913" s="414"/>
      <c r="D913" s="414"/>
      <c r="E913" s="414"/>
      <c r="F913" s="414"/>
      <c r="G913" s="413"/>
      <c r="H913" s="413"/>
      <c r="I913" s="413"/>
      <c r="J913" s="413"/>
      <c r="K913" s="413"/>
      <c r="L913" s="413"/>
      <c r="M913" s="413"/>
      <c r="N913" s="413"/>
      <c r="O913" s="413"/>
      <c r="P913" s="413"/>
      <c r="Q913" s="413"/>
      <c r="R913" s="413"/>
      <c r="S913" s="413"/>
      <c r="T913" s="413"/>
      <c r="U913" s="413"/>
      <c r="V913" s="413"/>
      <c r="W913" s="413"/>
      <c r="X913" s="413"/>
      <c r="Y913" s="413"/>
      <c r="Z913" s="413"/>
    </row>
    <row r="914" ht="12.0" customHeight="1">
      <c r="A914" s="413"/>
      <c r="B914" s="413"/>
      <c r="C914" s="414"/>
      <c r="D914" s="414"/>
      <c r="E914" s="414"/>
      <c r="F914" s="414"/>
      <c r="G914" s="413"/>
      <c r="H914" s="413"/>
      <c r="I914" s="413"/>
      <c r="J914" s="413"/>
      <c r="K914" s="413"/>
      <c r="L914" s="413"/>
      <c r="M914" s="413"/>
      <c r="N914" s="413"/>
      <c r="O914" s="413"/>
      <c r="P914" s="413"/>
      <c r="Q914" s="413"/>
      <c r="R914" s="413"/>
      <c r="S914" s="413"/>
      <c r="T914" s="413"/>
      <c r="U914" s="413"/>
      <c r="V914" s="413"/>
      <c r="W914" s="413"/>
      <c r="X914" s="413"/>
      <c r="Y914" s="413"/>
      <c r="Z914" s="413"/>
    </row>
    <row r="915" ht="12.0" customHeight="1">
      <c r="A915" s="413"/>
      <c r="B915" s="413"/>
      <c r="C915" s="414"/>
      <c r="D915" s="414"/>
      <c r="E915" s="414"/>
      <c r="F915" s="414"/>
      <c r="G915" s="413"/>
      <c r="H915" s="413"/>
      <c r="I915" s="413"/>
      <c r="J915" s="413"/>
      <c r="K915" s="413"/>
      <c r="L915" s="413"/>
      <c r="M915" s="413"/>
      <c r="N915" s="413"/>
      <c r="O915" s="413"/>
      <c r="P915" s="413"/>
      <c r="Q915" s="413"/>
      <c r="R915" s="413"/>
      <c r="S915" s="413"/>
      <c r="T915" s="413"/>
      <c r="U915" s="413"/>
      <c r="V915" s="413"/>
      <c r="W915" s="413"/>
      <c r="X915" s="413"/>
      <c r="Y915" s="413"/>
      <c r="Z915" s="413"/>
    </row>
    <row r="916" ht="12.0" customHeight="1">
      <c r="A916" s="413"/>
      <c r="B916" s="413"/>
      <c r="C916" s="414"/>
      <c r="D916" s="414"/>
      <c r="E916" s="414"/>
      <c r="F916" s="414"/>
      <c r="G916" s="413"/>
      <c r="H916" s="413"/>
      <c r="I916" s="413"/>
      <c r="J916" s="413"/>
      <c r="K916" s="413"/>
      <c r="L916" s="413"/>
      <c r="M916" s="413"/>
      <c r="N916" s="413"/>
      <c r="O916" s="413"/>
      <c r="P916" s="413"/>
      <c r="Q916" s="413"/>
      <c r="R916" s="413"/>
      <c r="S916" s="413"/>
      <c r="T916" s="413"/>
      <c r="U916" s="413"/>
      <c r="V916" s="413"/>
      <c r="W916" s="413"/>
      <c r="X916" s="413"/>
      <c r="Y916" s="413"/>
      <c r="Z916" s="413"/>
    </row>
    <row r="917" ht="12.0" customHeight="1">
      <c r="A917" s="413"/>
      <c r="B917" s="413"/>
      <c r="C917" s="414"/>
      <c r="D917" s="414"/>
      <c r="E917" s="414"/>
      <c r="F917" s="414"/>
      <c r="G917" s="413"/>
      <c r="H917" s="413"/>
      <c r="I917" s="413"/>
      <c r="J917" s="413"/>
      <c r="K917" s="413"/>
      <c r="L917" s="413"/>
      <c r="M917" s="413"/>
      <c r="N917" s="413"/>
      <c r="O917" s="413"/>
      <c r="P917" s="413"/>
      <c r="Q917" s="413"/>
      <c r="R917" s="413"/>
      <c r="S917" s="413"/>
      <c r="T917" s="413"/>
      <c r="U917" s="413"/>
      <c r="V917" s="413"/>
      <c r="W917" s="413"/>
      <c r="X917" s="413"/>
      <c r="Y917" s="413"/>
      <c r="Z917" s="413"/>
    </row>
    <row r="918" ht="12.0" customHeight="1">
      <c r="A918" s="413"/>
      <c r="B918" s="413"/>
      <c r="C918" s="414"/>
      <c r="D918" s="414"/>
      <c r="E918" s="414"/>
      <c r="F918" s="414"/>
      <c r="G918" s="413"/>
      <c r="H918" s="413"/>
      <c r="I918" s="413"/>
      <c r="J918" s="413"/>
      <c r="K918" s="413"/>
      <c r="L918" s="413"/>
      <c r="M918" s="413"/>
      <c r="N918" s="413"/>
      <c r="O918" s="413"/>
      <c r="P918" s="413"/>
      <c r="Q918" s="413"/>
      <c r="R918" s="413"/>
      <c r="S918" s="413"/>
      <c r="T918" s="413"/>
      <c r="U918" s="413"/>
      <c r="V918" s="413"/>
      <c r="W918" s="413"/>
      <c r="X918" s="413"/>
      <c r="Y918" s="413"/>
      <c r="Z918" s="413"/>
    </row>
    <row r="919" ht="12.0" customHeight="1">
      <c r="A919" s="413"/>
      <c r="B919" s="413"/>
      <c r="C919" s="414"/>
      <c r="D919" s="414"/>
      <c r="E919" s="414"/>
      <c r="F919" s="414"/>
      <c r="G919" s="413"/>
      <c r="H919" s="413"/>
      <c r="I919" s="413"/>
      <c r="J919" s="413"/>
      <c r="K919" s="413"/>
      <c r="L919" s="413"/>
      <c r="M919" s="413"/>
      <c r="N919" s="413"/>
      <c r="O919" s="413"/>
      <c r="P919" s="413"/>
      <c r="Q919" s="413"/>
      <c r="R919" s="413"/>
      <c r="S919" s="413"/>
      <c r="T919" s="413"/>
      <c r="U919" s="413"/>
      <c r="V919" s="413"/>
      <c r="W919" s="413"/>
      <c r="X919" s="413"/>
      <c r="Y919" s="413"/>
      <c r="Z919" s="413"/>
    </row>
    <row r="920" ht="12.0" customHeight="1">
      <c r="A920" s="413"/>
      <c r="B920" s="413"/>
      <c r="C920" s="414"/>
      <c r="D920" s="414"/>
      <c r="E920" s="414"/>
      <c r="F920" s="414"/>
      <c r="G920" s="413"/>
      <c r="H920" s="413"/>
      <c r="I920" s="413"/>
      <c r="J920" s="413"/>
      <c r="K920" s="413"/>
      <c r="L920" s="413"/>
      <c r="M920" s="413"/>
      <c r="N920" s="413"/>
      <c r="O920" s="413"/>
      <c r="P920" s="413"/>
      <c r="Q920" s="413"/>
      <c r="R920" s="413"/>
      <c r="S920" s="413"/>
      <c r="T920" s="413"/>
      <c r="U920" s="413"/>
      <c r="V920" s="413"/>
      <c r="W920" s="413"/>
      <c r="X920" s="413"/>
      <c r="Y920" s="413"/>
      <c r="Z920" s="413"/>
    </row>
    <row r="921" ht="12.0" customHeight="1">
      <c r="A921" s="413"/>
      <c r="B921" s="413"/>
      <c r="C921" s="414"/>
      <c r="D921" s="414"/>
      <c r="E921" s="414"/>
      <c r="F921" s="414"/>
      <c r="G921" s="413"/>
      <c r="H921" s="413"/>
      <c r="I921" s="413"/>
      <c r="J921" s="413"/>
      <c r="K921" s="413"/>
      <c r="L921" s="413"/>
      <c r="M921" s="413"/>
      <c r="N921" s="413"/>
      <c r="O921" s="413"/>
      <c r="P921" s="413"/>
      <c r="Q921" s="413"/>
      <c r="R921" s="413"/>
      <c r="S921" s="413"/>
      <c r="T921" s="413"/>
      <c r="U921" s="413"/>
      <c r="V921" s="413"/>
      <c r="W921" s="413"/>
      <c r="X921" s="413"/>
      <c r="Y921" s="413"/>
      <c r="Z921" s="413"/>
    </row>
    <row r="922" ht="12.0" customHeight="1">
      <c r="A922" s="413"/>
      <c r="B922" s="413"/>
      <c r="C922" s="414"/>
      <c r="D922" s="414"/>
      <c r="E922" s="414"/>
      <c r="F922" s="414"/>
      <c r="G922" s="413"/>
      <c r="H922" s="413"/>
      <c r="I922" s="413"/>
      <c r="J922" s="413"/>
      <c r="K922" s="413"/>
      <c r="L922" s="413"/>
      <c r="M922" s="413"/>
      <c r="N922" s="413"/>
      <c r="O922" s="413"/>
      <c r="P922" s="413"/>
      <c r="Q922" s="413"/>
      <c r="R922" s="413"/>
      <c r="S922" s="413"/>
      <c r="T922" s="413"/>
      <c r="U922" s="413"/>
      <c r="V922" s="413"/>
      <c r="W922" s="413"/>
      <c r="X922" s="413"/>
      <c r="Y922" s="413"/>
      <c r="Z922" s="413"/>
    </row>
    <row r="923" ht="12.0" customHeight="1">
      <c r="A923" s="413"/>
      <c r="B923" s="413"/>
      <c r="C923" s="414"/>
      <c r="D923" s="414"/>
      <c r="E923" s="414"/>
      <c r="F923" s="414"/>
      <c r="G923" s="413"/>
      <c r="H923" s="413"/>
      <c r="I923" s="413"/>
      <c r="J923" s="413"/>
      <c r="K923" s="413"/>
      <c r="L923" s="413"/>
      <c r="M923" s="413"/>
      <c r="N923" s="413"/>
      <c r="O923" s="413"/>
      <c r="P923" s="413"/>
      <c r="Q923" s="413"/>
      <c r="R923" s="413"/>
      <c r="S923" s="413"/>
      <c r="T923" s="413"/>
      <c r="U923" s="413"/>
      <c r="V923" s="413"/>
      <c r="W923" s="413"/>
      <c r="X923" s="413"/>
      <c r="Y923" s="413"/>
      <c r="Z923" s="413"/>
    </row>
    <row r="924" ht="12.0" customHeight="1">
      <c r="A924" s="413"/>
      <c r="B924" s="413"/>
      <c r="C924" s="414"/>
      <c r="D924" s="414"/>
      <c r="E924" s="414"/>
      <c r="F924" s="414"/>
      <c r="G924" s="413"/>
      <c r="H924" s="413"/>
      <c r="I924" s="413"/>
      <c r="J924" s="413"/>
      <c r="K924" s="413"/>
      <c r="L924" s="413"/>
      <c r="M924" s="413"/>
      <c r="N924" s="413"/>
      <c r="O924" s="413"/>
      <c r="P924" s="413"/>
      <c r="Q924" s="413"/>
      <c r="R924" s="413"/>
      <c r="S924" s="413"/>
      <c r="T924" s="413"/>
      <c r="U924" s="413"/>
      <c r="V924" s="413"/>
      <c r="W924" s="413"/>
      <c r="X924" s="413"/>
      <c r="Y924" s="413"/>
      <c r="Z924" s="413"/>
    </row>
    <row r="925" ht="12.0" customHeight="1">
      <c r="A925" s="413"/>
      <c r="B925" s="413"/>
      <c r="C925" s="414"/>
      <c r="D925" s="414"/>
      <c r="E925" s="414"/>
      <c r="F925" s="414"/>
      <c r="G925" s="413"/>
      <c r="H925" s="413"/>
      <c r="I925" s="413"/>
      <c r="J925" s="413"/>
      <c r="K925" s="413"/>
      <c r="L925" s="413"/>
      <c r="M925" s="413"/>
      <c r="N925" s="413"/>
      <c r="O925" s="413"/>
      <c r="P925" s="413"/>
      <c r="Q925" s="413"/>
      <c r="R925" s="413"/>
      <c r="S925" s="413"/>
      <c r="T925" s="413"/>
      <c r="U925" s="413"/>
      <c r="V925" s="413"/>
      <c r="W925" s="413"/>
      <c r="X925" s="413"/>
      <c r="Y925" s="413"/>
      <c r="Z925" s="413"/>
    </row>
    <row r="926" ht="12.0" customHeight="1">
      <c r="A926" s="413"/>
      <c r="B926" s="413"/>
      <c r="C926" s="414"/>
      <c r="D926" s="414"/>
      <c r="E926" s="414"/>
      <c r="F926" s="414"/>
      <c r="G926" s="413"/>
      <c r="H926" s="413"/>
      <c r="I926" s="413"/>
      <c r="J926" s="413"/>
      <c r="K926" s="413"/>
      <c r="L926" s="413"/>
      <c r="M926" s="413"/>
      <c r="N926" s="413"/>
      <c r="O926" s="413"/>
      <c r="P926" s="413"/>
      <c r="Q926" s="413"/>
      <c r="R926" s="413"/>
      <c r="S926" s="413"/>
      <c r="T926" s="413"/>
      <c r="U926" s="413"/>
      <c r="V926" s="413"/>
      <c r="W926" s="413"/>
      <c r="X926" s="413"/>
      <c r="Y926" s="413"/>
      <c r="Z926" s="413"/>
    </row>
    <row r="927" ht="12.0" customHeight="1">
      <c r="A927" s="413"/>
      <c r="B927" s="413"/>
      <c r="C927" s="414"/>
      <c r="D927" s="414"/>
      <c r="E927" s="414"/>
      <c r="F927" s="414"/>
      <c r="G927" s="413"/>
      <c r="H927" s="413"/>
      <c r="I927" s="413"/>
      <c r="J927" s="413"/>
      <c r="K927" s="413"/>
      <c r="L927" s="413"/>
      <c r="M927" s="413"/>
      <c r="N927" s="413"/>
      <c r="O927" s="413"/>
      <c r="P927" s="413"/>
      <c r="Q927" s="413"/>
      <c r="R927" s="413"/>
      <c r="S927" s="413"/>
      <c r="T927" s="413"/>
      <c r="U927" s="413"/>
      <c r="V927" s="413"/>
      <c r="W927" s="413"/>
      <c r="X927" s="413"/>
      <c r="Y927" s="413"/>
      <c r="Z927" s="413"/>
    </row>
    <row r="928" ht="12.0" customHeight="1">
      <c r="A928" s="413"/>
      <c r="B928" s="413"/>
      <c r="C928" s="414"/>
      <c r="D928" s="414"/>
      <c r="E928" s="414"/>
      <c r="F928" s="414"/>
      <c r="G928" s="413"/>
      <c r="H928" s="413"/>
      <c r="I928" s="413"/>
      <c r="J928" s="413"/>
      <c r="K928" s="413"/>
      <c r="L928" s="413"/>
      <c r="M928" s="413"/>
      <c r="N928" s="413"/>
      <c r="O928" s="413"/>
      <c r="P928" s="413"/>
      <c r="Q928" s="413"/>
      <c r="R928" s="413"/>
      <c r="S928" s="413"/>
      <c r="T928" s="413"/>
      <c r="U928" s="413"/>
      <c r="V928" s="413"/>
      <c r="W928" s="413"/>
      <c r="X928" s="413"/>
      <c r="Y928" s="413"/>
      <c r="Z928" s="413"/>
    </row>
    <row r="929" ht="12.0" customHeight="1">
      <c r="A929" s="413"/>
      <c r="B929" s="413"/>
      <c r="C929" s="414"/>
      <c r="D929" s="414"/>
      <c r="E929" s="414"/>
      <c r="F929" s="414"/>
      <c r="G929" s="413"/>
      <c r="H929" s="413"/>
      <c r="I929" s="413"/>
      <c r="J929" s="413"/>
      <c r="K929" s="413"/>
      <c r="L929" s="413"/>
      <c r="M929" s="413"/>
      <c r="N929" s="413"/>
      <c r="O929" s="413"/>
      <c r="P929" s="413"/>
      <c r="Q929" s="413"/>
      <c r="R929" s="413"/>
      <c r="S929" s="413"/>
      <c r="T929" s="413"/>
      <c r="U929" s="413"/>
      <c r="V929" s="413"/>
      <c r="W929" s="413"/>
      <c r="X929" s="413"/>
      <c r="Y929" s="413"/>
      <c r="Z929" s="413"/>
    </row>
    <row r="930" ht="12.0" customHeight="1">
      <c r="A930" s="413"/>
      <c r="B930" s="413"/>
      <c r="C930" s="414"/>
      <c r="D930" s="414"/>
      <c r="E930" s="414"/>
      <c r="F930" s="414"/>
      <c r="G930" s="413"/>
      <c r="H930" s="413"/>
      <c r="I930" s="413"/>
      <c r="J930" s="413"/>
      <c r="K930" s="413"/>
      <c r="L930" s="413"/>
      <c r="M930" s="413"/>
      <c r="N930" s="413"/>
      <c r="O930" s="413"/>
      <c r="P930" s="413"/>
      <c r="Q930" s="413"/>
      <c r="R930" s="413"/>
      <c r="S930" s="413"/>
      <c r="T930" s="413"/>
      <c r="U930" s="413"/>
      <c r="V930" s="413"/>
      <c r="W930" s="413"/>
      <c r="X930" s="413"/>
      <c r="Y930" s="413"/>
      <c r="Z930" s="413"/>
    </row>
    <row r="931" ht="12.0" customHeight="1">
      <c r="A931" s="413"/>
      <c r="B931" s="413"/>
      <c r="C931" s="414"/>
      <c r="D931" s="414"/>
      <c r="E931" s="414"/>
      <c r="F931" s="414"/>
      <c r="G931" s="413"/>
      <c r="H931" s="413"/>
      <c r="I931" s="413"/>
      <c r="J931" s="413"/>
      <c r="K931" s="413"/>
      <c r="L931" s="413"/>
      <c r="M931" s="413"/>
      <c r="N931" s="413"/>
      <c r="O931" s="413"/>
      <c r="P931" s="413"/>
      <c r="Q931" s="413"/>
      <c r="R931" s="413"/>
      <c r="S931" s="413"/>
      <c r="T931" s="413"/>
      <c r="U931" s="413"/>
      <c r="V931" s="413"/>
      <c r="W931" s="413"/>
      <c r="X931" s="413"/>
      <c r="Y931" s="413"/>
      <c r="Z931" s="413"/>
    </row>
    <row r="932" ht="12.0" customHeight="1">
      <c r="A932" s="413"/>
      <c r="B932" s="413"/>
      <c r="C932" s="414"/>
      <c r="D932" s="414"/>
      <c r="E932" s="414"/>
      <c r="F932" s="414"/>
      <c r="G932" s="413"/>
      <c r="H932" s="413"/>
      <c r="I932" s="413"/>
      <c r="J932" s="413"/>
      <c r="K932" s="413"/>
      <c r="L932" s="413"/>
      <c r="M932" s="413"/>
      <c r="N932" s="413"/>
      <c r="O932" s="413"/>
      <c r="P932" s="413"/>
      <c r="Q932" s="413"/>
      <c r="R932" s="413"/>
      <c r="S932" s="413"/>
      <c r="T932" s="413"/>
      <c r="U932" s="413"/>
      <c r="V932" s="413"/>
      <c r="W932" s="413"/>
      <c r="X932" s="413"/>
      <c r="Y932" s="413"/>
      <c r="Z932" s="413"/>
    </row>
    <row r="933" ht="12.0" customHeight="1">
      <c r="A933" s="413"/>
      <c r="B933" s="413"/>
      <c r="C933" s="414"/>
      <c r="D933" s="414"/>
      <c r="E933" s="414"/>
      <c r="F933" s="414"/>
      <c r="G933" s="413"/>
      <c r="H933" s="413"/>
      <c r="I933" s="413"/>
      <c r="J933" s="413"/>
      <c r="K933" s="413"/>
      <c r="L933" s="413"/>
      <c r="M933" s="413"/>
      <c r="N933" s="413"/>
      <c r="O933" s="413"/>
      <c r="P933" s="413"/>
      <c r="Q933" s="413"/>
      <c r="R933" s="413"/>
      <c r="S933" s="413"/>
      <c r="T933" s="413"/>
      <c r="U933" s="413"/>
      <c r="V933" s="413"/>
      <c r="W933" s="413"/>
      <c r="X933" s="413"/>
      <c r="Y933" s="413"/>
      <c r="Z933" s="413"/>
    </row>
    <row r="934" ht="12.0" customHeight="1">
      <c r="A934" s="413"/>
      <c r="B934" s="413"/>
      <c r="C934" s="414"/>
      <c r="D934" s="414"/>
      <c r="E934" s="414"/>
      <c r="F934" s="414"/>
      <c r="G934" s="413"/>
      <c r="H934" s="413"/>
      <c r="I934" s="413"/>
      <c r="J934" s="413"/>
      <c r="K934" s="413"/>
      <c r="L934" s="413"/>
      <c r="M934" s="413"/>
      <c r="N934" s="413"/>
      <c r="O934" s="413"/>
      <c r="P934" s="413"/>
      <c r="Q934" s="413"/>
      <c r="R934" s="413"/>
      <c r="S934" s="413"/>
      <c r="T934" s="413"/>
      <c r="U934" s="413"/>
      <c r="V934" s="413"/>
      <c r="W934" s="413"/>
      <c r="X934" s="413"/>
      <c r="Y934" s="413"/>
      <c r="Z934" s="413"/>
    </row>
    <row r="935" ht="12.0" customHeight="1">
      <c r="A935" s="413"/>
      <c r="B935" s="413"/>
      <c r="C935" s="414"/>
      <c r="D935" s="414"/>
      <c r="E935" s="414"/>
      <c r="F935" s="414"/>
      <c r="G935" s="413"/>
      <c r="H935" s="413"/>
      <c r="I935" s="413"/>
      <c r="J935" s="413"/>
      <c r="K935" s="413"/>
      <c r="L935" s="413"/>
      <c r="M935" s="413"/>
      <c r="N935" s="413"/>
      <c r="O935" s="413"/>
      <c r="P935" s="413"/>
      <c r="Q935" s="413"/>
      <c r="R935" s="413"/>
      <c r="S935" s="413"/>
      <c r="T935" s="413"/>
      <c r="U935" s="413"/>
      <c r="V935" s="413"/>
      <c r="W935" s="413"/>
      <c r="X935" s="413"/>
      <c r="Y935" s="413"/>
      <c r="Z935" s="413"/>
    </row>
    <row r="936" ht="12.0" customHeight="1">
      <c r="A936" s="413"/>
      <c r="B936" s="413"/>
      <c r="C936" s="414"/>
      <c r="D936" s="414"/>
      <c r="E936" s="414"/>
      <c r="F936" s="414"/>
      <c r="G936" s="413"/>
      <c r="H936" s="413"/>
      <c r="I936" s="413"/>
      <c r="J936" s="413"/>
      <c r="K936" s="413"/>
      <c r="L936" s="413"/>
      <c r="M936" s="413"/>
      <c r="N936" s="413"/>
      <c r="O936" s="413"/>
      <c r="P936" s="413"/>
      <c r="Q936" s="413"/>
      <c r="R936" s="413"/>
      <c r="S936" s="413"/>
      <c r="T936" s="413"/>
      <c r="U936" s="413"/>
      <c r="V936" s="413"/>
      <c r="W936" s="413"/>
      <c r="X936" s="413"/>
      <c r="Y936" s="413"/>
      <c r="Z936" s="413"/>
    </row>
    <row r="937" ht="12.0" customHeight="1">
      <c r="A937" s="413"/>
      <c r="B937" s="413"/>
      <c r="C937" s="414"/>
      <c r="D937" s="414"/>
      <c r="E937" s="414"/>
      <c r="F937" s="414"/>
      <c r="G937" s="413"/>
      <c r="H937" s="413"/>
      <c r="I937" s="413"/>
      <c r="J937" s="413"/>
      <c r="K937" s="413"/>
      <c r="L937" s="413"/>
      <c r="M937" s="413"/>
      <c r="N937" s="413"/>
      <c r="O937" s="413"/>
      <c r="P937" s="413"/>
      <c r="Q937" s="413"/>
      <c r="R937" s="413"/>
      <c r="S937" s="413"/>
      <c r="T937" s="413"/>
      <c r="U937" s="413"/>
      <c r="V937" s="413"/>
      <c r="W937" s="413"/>
      <c r="X937" s="413"/>
      <c r="Y937" s="413"/>
      <c r="Z937" s="413"/>
    </row>
    <row r="938" ht="12.0" customHeight="1">
      <c r="A938" s="413"/>
      <c r="B938" s="413"/>
      <c r="C938" s="414"/>
      <c r="D938" s="414"/>
      <c r="E938" s="414"/>
      <c r="F938" s="414"/>
      <c r="G938" s="413"/>
      <c r="H938" s="413"/>
      <c r="I938" s="413"/>
      <c r="J938" s="413"/>
      <c r="K938" s="413"/>
      <c r="L938" s="413"/>
      <c r="M938" s="413"/>
      <c r="N938" s="413"/>
      <c r="O938" s="413"/>
      <c r="P938" s="413"/>
      <c r="Q938" s="413"/>
      <c r="R938" s="413"/>
      <c r="S938" s="413"/>
      <c r="T938" s="413"/>
      <c r="U938" s="413"/>
      <c r="V938" s="413"/>
      <c r="W938" s="413"/>
      <c r="X938" s="413"/>
      <c r="Y938" s="413"/>
      <c r="Z938" s="413"/>
    </row>
    <row r="939" ht="12.0" customHeight="1">
      <c r="A939" s="413"/>
      <c r="B939" s="413"/>
      <c r="C939" s="414"/>
      <c r="D939" s="414"/>
      <c r="E939" s="414"/>
      <c r="F939" s="414"/>
      <c r="G939" s="413"/>
      <c r="H939" s="413"/>
      <c r="I939" s="413"/>
      <c r="J939" s="413"/>
      <c r="K939" s="413"/>
      <c r="L939" s="413"/>
      <c r="M939" s="413"/>
      <c r="N939" s="413"/>
      <c r="O939" s="413"/>
      <c r="P939" s="413"/>
      <c r="Q939" s="413"/>
      <c r="R939" s="413"/>
      <c r="S939" s="413"/>
      <c r="T939" s="413"/>
      <c r="U939" s="413"/>
      <c r="V939" s="413"/>
      <c r="W939" s="413"/>
      <c r="X939" s="413"/>
      <c r="Y939" s="413"/>
      <c r="Z939" s="413"/>
    </row>
    <row r="940" ht="12.0" customHeight="1">
      <c r="A940" s="413"/>
      <c r="B940" s="413"/>
      <c r="C940" s="414"/>
      <c r="D940" s="414"/>
      <c r="E940" s="414"/>
      <c r="F940" s="414"/>
      <c r="G940" s="413"/>
      <c r="H940" s="413"/>
      <c r="I940" s="413"/>
      <c r="J940" s="413"/>
      <c r="K940" s="413"/>
      <c r="L940" s="413"/>
      <c r="M940" s="413"/>
      <c r="N940" s="413"/>
      <c r="O940" s="413"/>
      <c r="P940" s="413"/>
      <c r="Q940" s="413"/>
      <c r="R940" s="413"/>
      <c r="S940" s="413"/>
      <c r="T940" s="413"/>
      <c r="U940" s="413"/>
      <c r="V940" s="413"/>
      <c r="W940" s="413"/>
      <c r="X940" s="413"/>
      <c r="Y940" s="413"/>
      <c r="Z940" s="413"/>
    </row>
    <row r="941" ht="12.0" customHeight="1">
      <c r="A941" s="413"/>
      <c r="B941" s="413"/>
      <c r="C941" s="414"/>
      <c r="D941" s="414"/>
      <c r="E941" s="414"/>
      <c r="F941" s="414"/>
      <c r="G941" s="413"/>
      <c r="H941" s="413"/>
      <c r="I941" s="413"/>
      <c r="J941" s="413"/>
      <c r="K941" s="413"/>
      <c r="L941" s="413"/>
      <c r="M941" s="413"/>
      <c r="N941" s="413"/>
      <c r="O941" s="413"/>
      <c r="P941" s="413"/>
      <c r="Q941" s="413"/>
      <c r="R941" s="413"/>
      <c r="S941" s="413"/>
      <c r="T941" s="413"/>
      <c r="U941" s="413"/>
      <c r="V941" s="413"/>
      <c r="W941" s="413"/>
      <c r="X941" s="413"/>
      <c r="Y941" s="413"/>
      <c r="Z941" s="413"/>
    </row>
    <row r="942" ht="12.0" customHeight="1">
      <c r="A942" s="413"/>
      <c r="B942" s="413"/>
      <c r="C942" s="414"/>
      <c r="D942" s="414"/>
      <c r="E942" s="414"/>
      <c r="F942" s="414"/>
      <c r="G942" s="413"/>
      <c r="H942" s="413"/>
      <c r="I942" s="413"/>
      <c r="J942" s="413"/>
      <c r="K942" s="413"/>
      <c r="L942" s="413"/>
      <c r="M942" s="413"/>
      <c r="N942" s="413"/>
      <c r="O942" s="413"/>
      <c r="P942" s="413"/>
      <c r="Q942" s="413"/>
      <c r="R942" s="413"/>
      <c r="S942" s="413"/>
      <c r="T942" s="413"/>
      <c r="U942" s="413"/>
      <c r="V942" s="413"/>
      <c r="W942" s="413"/>
      <c r="X942" s="413"/>
      <c r="Y942" s="413"/>
      <c r="Z942" s="413"/>
    </row>
    <row r="943" ht="12.0" customHeight="1">
      <c r="A943" s="413"/>
      <c r="B943" s="413"/>
      <c r="C943" s="414"/>
      <c r="D943" s="414"/>
      <c r="E943" s="414"/>
      <c r="F943" s="414"/>
      <c r="G943" s="413"/>
      <c r="H943" s="413"/>
      <c r="I943" s="413"/>
      <c r="J943" s="413"/>
      <c r="K943" s="413"/>
      <c r="L943" s="413"/>
      <c r="M943" s="413"/>
      <c r="N943" s="413"/>
      <c r="O943" s="413"/>
      <c r="P943" s="413"/>
      <c r="Q943" s="413"/>
      <c r="R943" s="413"/>
      <c r="S943" s="413"/>
      <c r="T943" s="413"/>
      <c r="U943" s="413"/>
      <c r="V943" s="413"/>
      <c r="W943" s="413"/>
      <c r="X943" s="413"/>
      <c r="Y943" s="413"/>
      <c r="Z943" s="413"/>
    </row>
    <row r="944" ht="12.0" customHeight="1">
      <c r="A944" s="413"/>
      <c r="B944" s="413"/>
      <c r="C944" s="414"/>
      <c r="D944" s="414"/>
      <c r="E944" s="414"/>
      <c r="F944" s="414"/>
      <c r="G944" s="413"/>
      <c r="H944" s="413"/>
      <c r="I944" s="413"/>
      <c r="J944" s="413"/>
      <c r="K944" s="413"/>
      <c r="L944" s="413"/>
      <c r="M944" s="413"/>
      <c r="N944" s="413"/>
      <c r="O944" s="413"/>
      <c r="P944" s="413"/>
      <c r="Q944" s="413"/>
      <c r="R944" s="413"/>
      <c r="S944" s="413"/>
      <c r="T944" s="413"/>
      <c r="U944" s="413"/>
      <c r="V944" s="413"/>
      <c r="W944" s="413"/>
      <c r="X944" s="413"/>
      <c r="Y944" s="413"/>
      <c r="Z944" s="413"/>
    </row>
    <row r="945" ht="12.0" customHeight="1">
      <c r="A945" s="413"/>
      <c r="B945" s="413"/>
      <c r="C945" s="414"/>
      <c r="D945" s="414"/>
      <c r="E945" s="414"/>
      <c r="F945" s="414"/>
      <c r="G945" s="413"/>
      <c r="H945" s="413"/>
      <c r="I945" s="413"/>
      <c r="J945" s="413"/>
      <c r="K945" s="413"/>
      <c r="L945" s="413"/>
      <c r="M945" s="413"/>
      <c r="N945" s="413"/>
      <c r="O945" s="413"/>
      <c r="P945" s="413"/>
      <c r="Q945" s="413"/>
      <c r="R945" s="413"/>
      <c r="S945" s="413"/>
      <c r="T945" s="413"/>
      <c r="U945" s="413"/>
      <c r="V945" s="413"/>
      <c r="W945" s="413"/>
      <c r="X945" s="413"/>
      <c r="Y945" s="413"/>
      <c r="Z945" s="413"/>
    </row>
    <row r="946" ht="12.0" customHeight="1">
      <c r="A946" s="413"/>
      <c r="B946" s="413"/>
      <c r="C946" s="414"/>
      <c r="D946" s="414"/>
      <c r="E946" s="414"/>
      <c r="F946" s="414"/>
      <c r="G946" s="413"/>
      <c r="H946" s="413"/>
      <c r="I946" s="413"/>
      <c r="J946" s="413"/>
      <c r="K946" s="413"/>
      <c r="L946" s="413"/>
      <c r="M946" s="413"/>
      <c r="N946" s="413"/>
      <c r="O946" s="413"/>
      <c r="P946" s="413"/>
      <c r="Q946" s="413"/>
      <c r="R946" s="413"/>
      <c r="S946" s="413"/>
      <c r="T946" s="413"/>
      <c r="U946" s="413"/>
      <c r="V946" s="413"/>
      <c r="W946" s="413"/>
      <c r="X946" s="413"/>
      <c r="Y946" s="413"/>
      <c r="Z946" s="413"/>
    </row>
    <row r="947" ht="12.0" customHeight="1">
      <c r="A947" s="413"/>
      <c r="B947" s="413"/>
      <c r="C947" s="414"/>
      <c r="D947" s="414"/>
      <c r="E947" s="414"/>
      <c r="F947" s="414"/>
      <c r="G947" s="413"/>
      <c r="H947" s="413"/>
      <c r="I947" s="413"/>
      <c r="J947" s="413"/>
      <c r="K947" s="413"/>
      <c r="L947" s="413"/>
      <c r="M947" s="413"/>
      <c r="N947" s="413"/>
      <c r="O947" s="413"/>
      <c r="P947" s="413"/>
      <c r="Q947" s="413"/>
      <c r="R947" s="413"/>
      <c r="S947" s="413"/>
      <c r="T947" s="413"/>
      <c r="U947" s="413"/>
      <c r="V947" s="413"/>
      <c r="W947" s="413"/>
      <c r="X947" s="413"/>
      <c r="Y947" s="413"/>
      <c r="Z947" s="413"/>
    </row>
    <row r="948" ht="12.0" customHeight="1">
      <c r="A948" s="413"/>
      <c r="B948" s="413"/>
      <c r="C948" s="414"/>
      <c r="D948" s="414"/>
      <c r="E948" s="414"/>
      <c r="F948" s="414"/>
      <c r="G948" s="413"/>
      <c r="H948" s="413"/>
      <c r="I948" s="413"/>
      <c r="J948" s="413"/>
      <c r="K948" s="413"/>
      <c r="L948" s="413"/>
      <c r="M948" s="413"/>
      <c r="N948" s="413"/>
      <c r="O948" s="413"/>
      <c r="P948" s="413"/>
      <c r="Q948" s="413"/>
      <c r="R948" s="413"/>
      <c r="S948" s="413"/>
      <c r="T948" s="413"/>
      <c r="U948" s="413"/>
      <c r="V948" s="413"/>
      <c r="W948" s="413"/>
      <c r="X948" s="413"/>
      <c r="Y948" s="413"/>
      <c r="Z948" s="413"/>
    </row>
    <row r="949" ht="12.0" customHeight="1">
      <c r="A949" s="413"/>
      <c r="B949" s="413"/>
      <c r="C949" s="414"/>
      <c r="D949" s="414"/>
      <c r="E949" s="414"/>
      <c r="F949" s="414"/>
      <c r="G949" s="413"/>
      <c r="H949" s="413"/>
      <c r="I949" s="413"/>
      <c r="J949" s="413"/>
      <c r="K949" s="413"/>
      <c r="L949" s="413"/>
      <c r="M949" s="413"/>
      <c r="N949" s="413"/>
      <c r="O949" s="413"/>
      <c r="P949" s="413"/>
      <c r="Q949" s="413"/>
      <c r="R949" s="413"/>
      <c r="S949" s="413"/>
      <c r="T949" s="413"/>
      <c r="U949" s="413"/>
      <c r="V949" s="413"/>
      <c r="W949" s="413"/>
      <c r="X949" s="413"/>
      <c r="Y949" s="413"/>
      <c r="Z949" s="413"/>
    </row>
    <row r="950" ht="12.0" customHeight="1">
      <c r="A950" s="413"/>
      <c r="B950" s="413"/>
      <c r="C950" s="414"/>
      <c r="D950" s="414"/>
      <c r="E950" s="414"/>
      <c r="F950" s="414"/>
      <c r="G950" s="413"/>
      <c r="H950" s="413"/>
      <c r="I950" s="413"/>
      <c r="J950" s="413"/>
      <c r="K950" s="413"/>
      <c r="L950" s="413"/>
      <c r="M950" s="413"/>
      <c r="N950" s="413"/>
      <c r="O950" s="413"/>
      <c r="P950" s="413"/>
      <c r="Q950" s="413"/>
      <c r="R950" s="413"/>
      <c r="S950" s="413"/>
      <c r="T950" s="413"/>
      <c r="U950" s="413"/>
      <c r="V950" s="413"/>
      <c r="W950" s="413"/>
      <c r="X950" s="413"/>
      <c r="Y950" s="413"/>
      <c r="Z950" s="413"/>
    </row>
    <row r="951" ht="12.0" customHeight="1">
      <c r="A951" s="413"/>
      <c r="B951" s="413"/>
      <c r="C951" s="414"/>
      <c r="D951" s="414"/>
      <c r="E951" s="414"/>
      <c r="F951" s="414"/>
      <c r="G951" s="413"/>
      <c r="H951" s="413"/>
      <c r="I951" s="413"/>
      <c r="J951" s="413"/>
      <c r="K951" s="413"/>
      <c r="L951" s="413"/>
      <c r="M951" s="413"/>
      <c r="N951" s="413"/>
      <c r="O951" s="413"/>
      <c r="P951" s="413"/>
      <c r="Q951" s="413"/>
      <c r="R951" s="413"/>
      <c r="S951" s="413"/>
      <c r="T951" s="413"/>
      <c r="U951" s="413"/>
      <c r="V951" s="413"/>
      <c r="W951" s="413"/>
      <c r="X951" s="413"/>
      <c r="Y951" s="413"/>
      <c r="Z951" s="413"/>
    </row>
    <row r="952" ht="12.0" customHeight="1">
      <c r="A952" s="413"/>
      <c r="B952" s="413"/>
      <c r="C952" s="414"/>
      <c r="D952" s="414"/>
      <c r="E952" s="414"/>
      <c r="F952" s="414"/>
      <c r="G952" s="413"/>
      <c r="H952" s="413"/>
      <c r="I952" s="413"/>
      <c r="J952" s="413"/>
      <c r="K952" s="413"/>
      <c r="L952" s="413"/>
      <c r="M952" s="413"/>
      <c r="N952" s="413"/>
      <c r="O952" s="413"/>
      <c r="P952" s="413"/>
      <c r="Q952" s="413"/>
      <c r="R952" s="413"/>
      <c r="S952" s="413"/>
      <c r="T952" s="413"/>
      <c r="U952" s="413"/>
      <c r="V952" s="413"/>
      <c r="W952" s="413"/>
      <c r="X952" s="413"/>
      <c r="Y952" s="413"/>
      <c r="Z952" s="413"/>
    </row>
    <row r="953" ht="12.0" customHeight="1">
      <c r="A953" s="413"/>
      <c r="B953" s="413"/>
      <c r="C953" s="414"/>
      <c r="D953" s="414"/>
      <c r="E953" s="414"/>
      <c r="F953" s="414"/>
      <c r="G953" s="413"/>
      <c r="H953" s="413"/>
      <c r="I953" s="413"/>
      <c r="J953" s="413"/>
      <c r="K953" s="413"/>
      <c r="L953" s="413"/>
      <c r="M953" s="413"/>
      <c r="N953" s="413"/>
      <c r="O953" s="413"/>
      <c r="P953" s="413"/>
      <c r="Q953" s="413"/>
      <c r="R953" s="413"/>
      <c r="S953" s="413"/>
      <c r="T953" s="413"/>
      <c r="U953" s="413"/>
      <c r="V953" s="413"/>
      <c r="W953" s="413"/>
      <c r="X953" s="413"/>
      <c r="Y953" s="413"/>
      <c r="Z953" s="413"/>
    </row>
    <row r="954" ht="12.0" customHeight="1">
      <c r="A954" s="413"/>
      <c r="B954" s="413"/>
      <c r="C954" s="414"/>
      <c r="D954" s="414"/>
      <c r="E954" s="414"/>
      <c r="F954" s="414"/>
      <c r="G954" s="413"/>
      <c r="H954" s="413"/>
      <c r="I954" s="413"/>
      <c r="J954" s="413"/>
      <c r="K954" s="413"/>
      <c r="L954" s="413"/>
      <c r="M954" s="413"/>
      <c r="N954" s="413"/>
      <c r="O954" s="413"/>
      <c r="P954" s="413"/>
      <c r="Q954" s="413"/>
      <c r="R954" s="413"/>
      <c r="S954" s="413"/>
      <c r="T954" s="413"/>
      <c r="U954" s="413"/>
      <c r="V954" s="413"/>
      <c r="W954" s="413"/>
      <c r="X954" s="413"/>
      <c r="Y954" s="413"/>
      <c r="Z954" s="413"/>
    </row>
    <row r="955" ht="12.0" customHeight="1">
      <c r="A955" s="413"/>
      <c r="B955" s="413"/>
      <c r="C955" s="414"/>
      <c r="D955" s="414"/>
      <c r="E955" s="414"/>
      <c r="F955" s="414"/>
      <c r="G955" s="413"/>
      <c r="H955" s="413"/>
      <c r="I955" s="413"/>
      <c r="J955" s="413"/>
      <c r="K955" s="413"/>
      <c r="L955" s="413"/>
      <c r="M955" s="413"/>
      <c r="N955" s="413"/>
      <c r="O955" s="413"/>
      <c r="P955" s="413"/>
      <c r="Q955" s="413"/>
      <c r="R955" s="413"/>
      <c r="S955" s="413"/>
      <c r="T955" s="413"/>
      <c r="U955" s="413"/>
      <c r="V955" s="413"/>
      <c r="W955" s="413"/>
      <c r="X955" s="413"/>
      <c r="Y955" s="413"/>
      <c r="Z955" s="413"/>
    </row>
    <row r="956" ht="12.0" customHeight="1">
      <c r="A956" s="413"/>
      <c r="B956" s="413"/>
      <c r="C956" s="414"/>
      <c r="D956" s="414"/>
      <c r="E956" s="414"/>
      <c r="F956" s="414"/>
      <c r="G956" s="413"/>
      <c r="H956" s="413"/>
      <c r="I956" s="413"/>
      <c r="J956" s="413"/>
      <c r="K956" s="413"/>
      <c r="L956" s="413"/>
      <c r="M956" s="413"/>
      <c r="N956" s="413"/>
      <c r="O956" s="413"/>
      <c r="P956" s="413"/>
      <c r="Q956" s="413"/>
      <c r="R956" s="413"/>
      <c r="S956" s="413"/>
      <c r="T956" s="413"/>
      <c r="U956" s="413"/>
      <c r="V956" s="413"/>
      <c r="W956" s="413"/>
      <c r="X956" s="413"/>
      <c r="Y956" s="413"/>
      <c r="Z956" s="413"/>
    </row>
    <row r="957" ht="12.0" customHeight="1">
      <c r="A957" s="413"/>
      <c r="B957" s="413"/>
      <c r="C957" s="414"/>
      <c r="D957" s="414"/>
      <c r="E957" s="414"/>
      <c r="F957" s="414"/>
      <c r="G957" s="413"/>
      <c r="H957" s="413"/>
      <c r="I957" s="413"/>
      <c r="J957" s="413"/>
      <c r="K957" s="413"/>
      <c r="L957" s="413"/>
      <c r="M957" s="413"/>
      <c r="N957" s="413"/>
      <c r="O957" s="413"/>
      <c r="P957" s="413"/>
      <c r="Q957" s="413"/>
      <c r="R957" s="413"/>
      <c r="S957" s="413"/>
      <c r="T957" s="413"/>
      <c r="U957" s="413"/>
      <c r="V957" s="413"/>
      <c r="W957" s="413"/>
      <c r="X957" s="413"/>
      <c r="Y957" s="413"/>
      <c r="Z957" s="413"/>
    </row>
    <row r="958" ht="12.0" customHeight="1">
      <c r="A958" s="413"/>
      <c r="B958" s="413"/>
      <c r="C958" s="414"/>
      <c r="D958" s="414"/>
      <c r="E958" s="414"/>
      <c r="F958" s="414"/>
      <c r="G958" s="413"/>
      <c r="H958" s="413"/>
      <c r="I958" s="413"/>
      <c r="J958" s="413"/>
      <c r="K958" s="413"/>
      <c r="L958" s="413"/>
      <c r="M958" s="413"/>
      <c r="N958" s="413"/>
      <c r="O958" s="413"/>
      <c r="P958" s="413"/>
      <c r="Q958" s="413"/>
      <c r="R958" s="413"/>
      <c r="S958" s="413"/>
      <c r="T958" s="413"/>
      <c r="U958" s="413"/>
      <c r="V958" s="413"/>
      <c r="W958" s="413"/>
      <c r="X958" s="413"/>
      <c r="Y958" s="413"/>
      <c r="Z958" s="413"/>
    </row>
    <row r="959" ht="12.0" customHeight="1">
      <c r="A959" s="413"/>
      <c r="B959" s="413"/>
      <c r="C959" s="414"/>
      <c r="D959" s="414"/>
      <c r="E959" s="414"/>
      <c r="F959" s="414"/>
      <c r="G959" s="413"/>
      <c r="H959" s="413"/>
      <c r="I959" s="413"/>
      <c r="J959" s="413"/>
      <c r="K959" s="413"/>
      <c r="L959" s="413"/>
      <c r="M959" s="413"/>
      <c r="N959" s="413"/>
      <c r="O959" s="413"/>
      <c r="P959" s="413"/>
      <c r="Q959" s="413"/>
      <c r="R959" s="413"/>
      <c r="S959" s="413"/>
      <c r="T959" s="413"/>
      <c r="U959" s="413"/>
      <c r="V959" s="413"/>
      <c r="W959" s="413"/>
      <c r="X959" s="413"/>
      <c r="Y959" s="413"/>
      <c r="Z959" s="413"/>
    </row>
    <row r="960" ht="12.0" customHeight="1">
      <c r="A960" s="413"/>
      <c r="B960" s="413"/>
      <c r="C960" s="414"/>
      <c r="D960" s="414"/>
      <c r="E960" s="414"/>
      <c r="F960" s="414"/>
      <c r="G960" s="413"/>
      <c r="H960" s="413"/>
      <c r="I960" s="413"/>
      <c r="J960" s="413"/>
      <c r="K960" s="413"/>
      <c r="L960" s="413"/>
      <c r="M960" s="413"/>
      <c r="N960" s="413"/>
      <c r="O960" s="413"/>
      <c r="P960" s="413"/>
      <c r="Q960" s="413"/>
      <c r="R960" s="413"/>
      <c r="S960" s="413"/>
      <c r="T960" s="413"/>
      <c r="U960" s="413"/>
      <c r="V960" s="413"/>
      <c r="W960" s="413"/>
      <c r="X960" s="413"/>
      <c r="Y960" s="413"/>
      <c r="Z960" s="413"/>
    </row>
    <row r="961" ht="12.0" customHeight="1">
      <c r="A961" s="413"/>
      <c r="B961" s="413"/>
      <c r="C961" s="414"/>
      <c r="D961" s="414"/>
      <c r="E961" s="414"/>
      <c r="F961" s="414"/>
      <c r="G961" s="413"/>
      <c r="H961" s="413"/>
      <c r="I961" s="413"/>
      <c r="J961" s="413"/>
      <c r="K961" s="413"/>
      <c r="L961" s="413"/>
      <c r="M961" s="413"/>
      <c r="N961" s="413"/>
      <c r="O961" s="413"/>
      <c r="P961" s="413"/>
      <c r="Q961" s="413"/>
      <c r="R961" s="413"/>
      <c r="S961" s="413"/>
      <c r="T961" s="413"/>
      <c r="U961" s="413"/>
      <c r="V961" s="413"/>
      <c r="W961" s="413"/>
      <c r="X961" s="413"/>
      <c r="Y961" s="413"/>
      <c r="Z961" s="413"/>
    </row>
    <row r="962" ht="12.0" customHeight="1">
      <c r="A962" s="413"/>
      <c r="B962" s="413"/>
      <c r="C962" s="414"/>
      <c r="D962" s="414"/>
      <c r="E962" s="414"/>
      <c r="F962" s="414"/>
      <c r="G962" s="413"/>
      <c r="H962" s="413"/>
      <c r="I962" s="413"/>
      <c r="J962" s="413"/>
      <c r="K962" s="413"/>
      <c r="L962" s="413"/>
      <c r="M962" s="413"/>
      <c r="N962" s="413"/>
      <c r="O962" s="413"/>
      <c r="P962" s="413"/>
      <c r="Q962" s="413"/>
      <c r="R962" s="413"/>
      <c r="S962" s="413"/>
      <c r="T962" s="413"/>
      <c r="U962" s="413"/>
      <c r="V962" s="413"/>
      <c r="W962" s="413"/>
      <c r="X962" s="413"/>
      <c r="Y962" s="413"/>
      <c r="Z962" s="413"/>
    </row>
    <row r="963" ht="12.0" customHeight="1">
      <c r="A963" s="413"/>
      <c r="B963" s="413"/>
      <c r="C963" s="414"/>
      <c r="D963" s="414"/>
      <c r="E963" s="414"/>
      <c r="F963" s="414"/>
      <c r="G963" s="413"/>
      <c r="H963" s="413"/>
      <c r="I963" s="413"/>
      <c r="J963" s="413"/>
      <c r="K963" s="413"/>
      <c r="L963" s="413"/>
      <c r="M963" s="413"/>
      <c r="N963" s="413"/>
      <c r="O963" s="413"/>
      <c r="P963" s="413"/>
      <c r="Q963" s="413"/>
      <c r="R963" s="413"/>
      <c r="S963" s="413"/>
      <c r="T963" s="413"/>
      <c r="U963" s="413"/>
      <c r="V963" s="413"/>
      <c r="W963" s="413"/>
      <c r="X963" s="413"/>
      <c r="Y963" s="413"/>
      <c r="Z963" s="413"/>
    </row>
    <row r="964" ht="12.0" customHeight="1">
      <c r="A964" s="413"/>
      <c r="B964" s="413"/>
      <c r="C964" s="414"/>
      <c r="D964" s="414"/>
      <c r="E964" s="414"/>
      <c r="F964" s="414"/>
      <c r="G964" s="413"/>
      <c r="H964" s="413"/>
      <c r="I964" s="413"/>
      <c r="J964" s="413"/>
      <c r="K964" s="413"/>
      <c r="L964" s="413"/>
      <c r="M964" s="413"/>
      <c r="N964" s="413"/>
      <c r="O964" s="413"/>
      <c r="P964" s="413"/>
      <c r="Q964" s="413"/>
      <c r="R964" s="413"/>
      <c r="S964" s="413"/>
      <c r="T964" s="413"/>
      <c r="U964" s="413"/>
      <c r="V964" s="413"/>
      <c r="W964" s="413"/>
      <c r="X964" s="413"/>
      <c r="Y964" s="413"/>
      <c r="Z964" s="413"/>
    </row>
    <row r="965" ht="12.0" customHeight="1">
      <c r="A965" s="413"/>
      <c r="B965" s="413"/>
      <c r="C965" s="414"/>
      <c r="D965" s="414"/>
      <c r="E965" s="414"/>
      <c r="F965" s="414"/>
      <c r="G965" s="413"/>
      <c r="H965" s="413"/>
      <c r="I965" s="413"/>
      <c r="J965" s="413"/>
      <c r="K965" s="413"/>
      <c r="L965" s="413"/>
      <c r="M965" s="413"/>
      <c r="N965" s="413"/>
      <c r="O965" s="413"/>
      <c r="P965" s="413"/>
      <c r="Q965" s="413"/>
      <c r="R965" s="413"/>
      <c r="S965" s="413"/>
      <c r="T965" s="413"/>
      <c r="U965" s="413"/>
      <c r="V965" s="413"/>
      <c r="W965" s="413"/>
      <c r="X965" s="413"/>
      <c r="Y965" s="413"/>
      <c r="Z965" s="413"/>
    </row>
    <row r="966" ht="12.0" customHeight="1">
      <c r="A966" s="413"/>
      <c r="B966" s="413"/>
      <c r="C966" s="414"/>
      <c r="D966" s="414"/>
      <c r="E966" s="414"/>
      <c r="F966" s="414"/>
      <c r="G966" s="413"/>
      <c r="H966" s="413"/>
      <c r="I966" s="413"/>
      <c r="J966" s="413"/>
      <c r="K966" s="413"/>
      <c r="L966" s="413"/>
      <c r="M966" s="413"/>
      <c r="N966" s="413"/>
      <c r="O966" s="413"/>
      <c r="P966" s="413"/>
      <c r="Q966" s="413"/>
      <c r="R966" s="413"/>
      <c r="S966" s="413"/>
      <c r="T966" s="413"/>
      <c r="U966" s="413"/>
      <c r="V966" s="413"/>
      <c r="W966" s="413"/>
      <c r="X966" s="413"/>
      <c r="Y966" s="413"/>
      <c r="Z966" s="413"/>
    </row>
    <row r="967" ht="12.0" customHeight="1">
      <c r="A967" s="413"/>
      <c r="B967" s="413"/>
      <c r="C967" s="414"/>
      <c r="D967" s="414"/>
      <c r="E967" s="414"/>
      <c r="F967" s="414"/>
      <c r="G967" s="413"/>
      <c r="H967" s="413"/>
      <c r="I967" s="413"/>
      <c r="J967" s="413"/>
      <c r="K967" s="413"/>
      <c r="L967" s="413"/>
      <c r="M967" s="413"/>
      <c r="N967" s="413"/>
      <c r="O967" s="413"/>
      <c r="P967" s="413"/>
      <c r="Q967" s="413"/>
      <c r="R967" s="413"/>
      <c r="S967" s="413"/>
      <c r="T967" s="413"/>
      <c r="U967" s="413"/>
      <c r="V967" s="413"/>
      <c r="W967" s="413"/>
      <c r="X967" s="413"/>
      <c r="Y967" s="413"/>
      <c r="Z967" s="413"/>
    </row>
    <row r="968" ht="12.0" customHeight="1">
      <c r="A968" s="413"/>
      <c r="B968" s="413"/>
      <c r="C968" s="414"/>
      <c r="D968" s="414"/>
      <c r="E968" s="414"/>
      <c r="F968" s="414"/>
      <c r="G968" s="413"/>
      <c r="H968" s="413"/>
      <c r="I968" s="413"/>
      <c r="J968" s="413"/>
      <c r="K968" s="413"/>
      <c r="L968" s="413"/>
      <c r="M968" s="413"/>
      <c r="N968" s="413"/>
      <c r="O968" s="413"/>
      <c r="P968" s="413"/>
      <c r="Q968" s="413"/>
      <c r="R968" s="413"/>
      <c r="S968" s="413"/>
      <c r="T968" s="413"/>
      <c r="U968" s="413"/>
      <c r="V968" s="413"/>
      <c r="W968" s="413"/>
      <c r="X968" s="413"/>
      <c r="Y968" s="413"/>
      <c r="Z968" s="413"/>
    </row>
    <row r="969" ht="12.0" customHeight="1">
      <c r="A969" s="413"/>
      <c r="B969" s="413"/>
      <c r="C969" s="414"/>
      <c r="D969" s="414"/>
      <c r="E969" s="414"/>
      <c r="F969" s="414"/>
      <c r="G969" s="413"/>
      <c r="H969" s="413"/>
      <c r="I969" s="413"/>
      <c r="J969" s="413"/>
      <c r="K969" s="413"/>
      <c r="L969" s="413"/>
      <c r="M969" s="413"/>
      <c r="N969" s="413"/>
      <c r="O969" s="413"/>
      <c r="P969" s="413"/>
      <c r="Q969" s="413"/>
      <c r="R969" s="413"/>
      <c r="S969" s="413"/>
      <c r="T969" s="413"/>
      <c r="U969" s="413"/>
      <c r="V969" s="413"/>
      <c r="W969" s="413"/>
      <c r="X969" s="413"/>
      <c r="Y969" s="413"/>
      <c r="Z969" s="413"/>
    </row>
    <row r="970" ht="12.0" customHeight="1">
      <c r="A970" s="413"/>
      <c r="B970" s="413"/>
      <c r="C970" s="414"/>
      <c r="D970" s="414"/>
      <c r="E970" s="414"/>
      <c r="F970" s="414"/>
      <c r="G970" s="413"/>
      <c r="H970" s="413"/>
      <c r="I970" s="413"/>
      <c r="J970" s="413"/>
      <c r="K970" s="413"/>
      <c r="L970" s="413"/>
      <c r="M970" s="413"/>
      <c r="N970" s="413"/>
      <c r="O970" s="413"/>
      <c r="P970" s="413"/>
      <c r="Q970" s="413"/>
      <c r="R970" s="413"/>
      <c r="S970" s="413"/>
      <c r="T970" s="413"/>
      <c r="U970" s="413"/>
      <c r="V970" s="413"/>
      <c r="W970" s="413"/>
      <c r="X970" s="413"/>
      <c r="Y970" s="413"/>
      <c r="Z970" s="413"/>
    </row>
    <row r="971" ht="12.0" customHeight="1">
      <c r="A971" s="413"/>
      <c r="B971" s="413"/>
      <c r="C971" s="414"/>
      <c r="D971" s="414"/>
      <c r="E971" s="414"/>
      <c r="F971" s="414"/>
      <c r="G971" s="413"/>
      <c r="H971" s="413"/>
      <c r="I971" s="413"/>
      <c r="J971" s="413"/>
      <c r="K971" s="413"/>
      <c r="L971" s="413"/>
      <c r="M971" s="413"/>
      <c r="N971" s="413"/>
      <c r="O971" s="413"/>
      <c r="P971" s="413"/>
      <c r="Q971" s="413"/>
      <c r="R971" s="413"/>
      <c r="S971" s="413"/>
      <c r="T971" s="413"/>
      <c r="U971" s="413"/>
      <c r="V971" s="413"/>
      <c r="W971" s="413"/>
      <c r="X971" s="413"/>
      <c r="Y971" s="413"/>
      <c r="Z971" s="413"/>
    </row>
    <row r="972" ht="12.0" customHeight="1">
      <c r="A972" s="413"/>
      <c r="B972" s="413"/>
      <c r="C972" s="414"/>
      <c r="D972" s="414"/>
      <c r="E972" s="414"/>
      <c r="F972" s="414"/>
      <c r="G972" s="413"/>
      <c r="H972" s="413"/>
      <c r="I972" s="413"/>
      <c r="J972" s="413"/>
      <c r="K972" s="413"/>
      <c r="L972" s="413"/>
      <c r="M972" s="413"/>
      <c r="N972" s="413"/>
      <c r="O972" s="413"/>
      <c r="P972" s="413"/>
      <c r="Q972" s="413"/>
      <c r="R972" s="413"/>
      <c r="S972" s="413"/>
      <c r="T972" s="413"/>
      <c r="U972" s="413"/>
      <c r="V972" s="413"/>
      <c r="W972" s="413"/>
      <c r="X972" s="413"/>
      <c r="Y972" s="413"/>
      <c r="Z972" s="413"/>
    </row>
    <row r="973" ht="12.0" customHeight="1">
      <c r="A973" s="413"/>
      <c r="B973" s="413"/>
      <c r="C973" s="414"/>
      <c r="D973" s="414"/>
      <c r="E973" s="414"/>
      <c r="F973" s="414"/>
      <c r="G973" s="413"/>
      <c r="H973" s="413"/>
      <c r="I973" s="413"/>
      <c r="J973" s="413"/>
      <c r="K973" s="413"/>
      <c r="L973" s="413"/>
      <c r="M973" s="413"/>
      <c r="N973" s="413"/>
      <c r="O973" s="413"/>
      <c r="P973" s="413"/>
      <c r="Q973" s="413"/>
      <c r="R973" s="413"/>
      <c r="S973" s="413"/>
      <c r="T973" s="413"/>
      <c r="U973" s="413"/>
      <c r="V973" s="413"/>
      <c r="W973" s="413"/>
      <c r="X973" s="413"/>
      <c r="Y973" s="413"/>
      <c r="Z973" s="413"/>
    </row>
    <row r="974" ht="12.0" customHeight="1">
      <c r="A974" s="413"/>
      <c r="B974" s="413"/>
      <c r="C974" s="414"/>
      <c r="D974" s="414"/>
      <c r="E974" s="414"/>
      <c r="F974" s="414"/>
      <c r="G974" s="413"/>
      <c r="H974" s="413"/>
      <c r="I974" s="413"/>
      <c r="J974" s="413"/>
      <c r="K974" s="413"/>
      <c r="L974" s="413"/>
      <c r="M974" s="413"/>
      <c r="N974" s="413"/>
      <c r="O974" s="413"/>
      <c r="P974" s="413"/>
      <c r="Q974" s="413"/>
      <c r="R974" s="413"/>
      <c r="S974" s="413"/>
      <c r="T974" s="413"/>
      <c r="U974" s="413"/>
      <c r="V974" s="413"/>
      <c r="W974" s="413"/>
      <c r="X974" s="413"/>
      <c r="Y974" s="413"/>
      <c r="Z974" s="413"/>
    </row>
    <row r="975" ht="12.0" customHeight="1">
      <c r="A975" s="413"/>
      <c r="B975" s="413"/>
      <c r="C975" s="414"/>
      <c r="D975" s="414"/>
      <c r="E975" s="414"/>
      <c r="F975" s="414"/>
      <c r="G975" s="413"/>
      <c r="H975" s="413"/>
      <c r="I975" s="413"/>
      <c r="J975" s="413"/>
      <c r="K975" s="413"/>
      <c r="L975" s="413"/>
      <c r="M975" s="413"/>
      <c r="N975" s="413"/>
      <c r="O975" s="413"/>
      <c r="P975" s="413"/>
      <c r="Q975" s="413"/>
      <c r="R975" s="413"/>
      <c r="S975" s="413"/>
      <c r="T975" s="413"/>
      <c r="U975" s="413"/>
      <c r="V975" s="413"/>
      <c r="W975" s="413"/>
      <c r="X975" s="413"/>
      <c r="Y975" s="413"/>
      <c r="Z975" s="413"/>
    </row>
    <row r="976" ht="12.0" customHeight="1">
      <c r="A976" s="413"/>
      <c r="B976" s="413"/>
      <c r="C976" s="414"/>
      <c r="D976" s="414"/>
      <c r="E976" s="414"/>
      <c r="F976" s="414"/>
      <c r="G976" s="413"/>
      <c r="H976" s="413"/>
      <c r="I976" s="413"/>
      <c r="J976" s="413"/>
      <c r="K976" s="413"/>
      <c r="L976" s="413"/>
      <c r="M976" s="413"/>
      <c r="N976" s="413"/>
      <c r="O976" s="413"/>
      <c r="P976" s="413"/>
      <c r="Q976" s="413"/>
      <c r="R976" s="413"/>
      <c r="S976" s="413"/>
      <c r="T976" s="413"/>
      <c r="U976" s="413"/>
      <c r="V976" s="413"/>
      <c r="W976" s="413"/>
      <c r="X976" s="413"/>
      <c r="Y976" s="413"/>
      <c r="Z976" s="413"/>
    </row>
    <row r="977" ht="12.0" customHeight="1">
      <c r="A977" s="413"/>
      <c r="B977" s="413"/>
      <c r="C977" s="414"/>
      <c r="D977" s="414"/>
      <c r="E977" s="414"/>
      <c r="F977" s="414"/>
      <c r="G977" s="413"/>
      <c r="H977" s="413"/>
      <c r="I977" s="413"/>
      <c r="J977" s="413"/>
      <c r="K977" s="413"/>
      <c r="L977" s="413"/>
      <c r="M977" s="413"/>
      <c r="N977" s="413"/>
      <c r="O977" s="413"/>
      <c r="P977" s="413"/>
      <c r="Q977" s="413"/>
      <c r="R977" s="413"/>
      <c r="S977" s="413"/>
      <c r="T977" s="413"/>
      <c r="U977" s="413"/>
      <c r="V977" s="413"/>
      <c r="W977" s="413"/>
      <c r="X977" s="413"/>
      <c r="Y977" s="413"/>
      <c r="Z977" s="413"/>
    </row>
    <row r="978" ht="12.0" customHeight="1">
      <c r="A978" s="413"/>
      <c r="B978" s="413"/>
      <c r="C978" s="414"/>
      <c r="D978" s="414"/>
      <c r="E978" s="414"/>
      <c r="F978" s="414"/>
      <c r="G978" s="413"/>
      <c r="H978" s="413"/>
      <c r="I978" s="413"/>
      <c r="J978" s="413"/>
      <c r="K978" s="413"/>
      <c r="L978" s="413"/>
      <c r="M978" s="413"/>
      <c r="N978" s="413"/>
      <c r="O978" s="413"/>
      <c r="P978" s="413"/>
      <c r="Q978" s="413"/>
      <c r="R978" s="413"/>
      <c r="S978" s="413"/>
      <c r="T978" s="413"/>
      <c r="U978" s="413"/>
      <c r="V978" s="413"/>
      <c r="W978" s="413"/>
      <c r="X978" s="413"/>
      <c r="Y978" s="413"/>
      <c r="Z978" s="413"/>
    </row>
    <row r="979" ht="12.0" customHeight="1">
      <c r="A979" s="413"/>
      <c r="B979" s="413"/>
      <c r="C979" s="414"/>
      <c r="D979" s="414"/>
      <c r="E979" s="414"/>
      <c r="F979" s="414"/>
      <c r="G979" s="413"/>
      <c r="H979" s="413"/>
      <c r="I979" s="413"/>
      <c r="J979" s="413"/>
      <c r="K979" s="413"/>
      <c r="L979" s="413"/>
      <c r="M979" s="413"/>
      <c r="N979" s="413"/>
      <c r="O979" s="413"/>
      <c r="P979" s="413"/>
      <c r="Q979" s="413"/>
      <c r="R979" s="413"/>
      <c r="S979" s="413"/>
      <c r="T979" s="413"/>
      <c r="U979" s="413"/>
      <c r="V979" s="413"/>
      <c r="W979" s="413"/>
      <c r="X979" s="413"/>
      <c r="Y979" s="413"/>
      <c r="Z979" s="413"/>
    </row>
    <row r="980" ht="12.0" customHeight="1">
      <c r="A980" s="413"/>
      <c r="B980" s="413"/>
      <c r="C980" s="414"/>
      <c r="D980" s="414"/>
      <c r="E980" s="414"/>
      <c r="F980" s="414"/>
      <c r="G980" s="413"/>
      <c r="H980" s="413"/>
      <c r="I980" s="413"/>
      <c r="J980" s="413"/>
      <c r="K980" s="413"/>
      <c r="L980" s="413"/>
      <c r="M980" s="413"/>
      <c r="N980" s="413"/>
      <c r="O980" s="413"/>
      <c r="P980" s="413"/>
      <c r="Q980" s="413"/>
      <c r="R980" s="413"/>
      <c r="S980" s="413"/>
      <c r="T980" s="413"/>
      <c r="U980" s="413"/>
      <c r="V980" s="413"/>
      <c r="W980" s="413"/>
      <c r="X980" s="413"/>
      <c r="Y980" s="413"/>
      <c r="Z980" s="413"/>
    </row>
    <row r="981" ht="12.0" customHeight="1">
      <c r="A981" s="413"/>
      <c r="B981" s="413"/>
      <c r="C981" s="414"/>
      <c r="D981" s="414"/>
      <c r="E981" s="414"/>
      <c r="F981" s="414"/>
      <c r="G981" s="413"/>
      <c r="H981" s="413"/>
      <c r="I981" s="413"/>
      <c r="J981" s="413"/>
      <c r="K981" s="413"/>
      <c r="L981" s="413"/>
      <c r="M981" s="413"/>
      <c r="N981" s="413"/>
      <c r="O981" s="413"/>
      <c r="P981" s="413"/>
      <c r="Q981" s="413"/>
      <c r="R981" s="413"/>
      <c r="S981" s="413"/>
      <c r="T981" s="413"/>
      <c r="U981" s="413"/>
      <c r="V981" s="413"/>
      <c r="W981" s="413"/>
      <c r="X981" s="413"/>
      <c r="Y981" s="413"/>
      <c r="Z981" s="413"/>
    </row>
    <row r="982" ht="12.0" customHeight="1">
      <c r="A982" s="413"/>
      <c r="B982" s="413"/>
      <c r="C982" s="414"/>
      <c r="D982" s="414"/>
      <c r="E982" s="414"/>
      <c r="F982" s="414"/>
      <c r="G982" s="413"/>
      <c r="H982" s="413"/>
      <c r="I982" s="413"/>
      <c r="J982" s="413"/>
      <c r="K982" s="413"/>
      <c r="L982" s="413"/>
      <c r="M982" s="413"/>
      <c r="N982" s="413"/>
      <c r="O982" s="413"/>
      <c r="P982" s="413"/>
      <c r="Q982" s="413"/>
      <c r="R982" s="413"/>
      <c r="S982" s="413"/>
      <c r="T982" s="413"/>
      <c r="U982" s="413"/>
      <c r="V982" s="413"/>
      <c r="W982" s="413"/>
      <c r="X982" s="413"/>
      <c r="Y982" s="413"/>
      <c r="Z982" s="413"/>
    </row>
    <row r="983" ht="12.0" customHeight="1">
      <c r="A983" s="413"/>
      <c r="B983" s="413"/>
      <c r="C983" s="414"/>
      <c r="D983" s="414"/>
      <c r="E983" s="414"/>
      <c r="F983" s="414"/>
      <c r="G983" s="413"/>
      <c r="H983" s="413"/>
      <c r="I983" s="413"/>
      <c r="J983" s="413"/>
      <c r="K983" s="413"/>
      <c r="L983" s="413"/>
      <c r="M983" s="413"/>
      <c r="N983" s="413"/>
      <c r="O983" s="413"/>
      <c r="P983" s="413"/>
      <c r="Q983" s="413"/>
      <c r="R983" s="413"/>
      <c r="S983" s="413"/>
      <c r="T983" s="413"/>
      <c r="U983" s="413"/>
      <c r="V983" s="413"/>
      <c r="W983" s="413"/>
      <c r="X983" s="413"/>
      <c r="Y983" s="413"/>
      <c r="Z983" s="413"/>
    </row>
    <row r="984" ht="12.0" customHeight="1">
      <c r="A984" s="413"/>
      <c r="B984" s="413"/>
      <c r="C984" s="414"/>
      <c r="D984" s="414"/>
      <c r="E984" s="414"/>
      <c r="F984" s="414"/>
      <c r="G984" s="413"/>
      <c r="H984" s="413"/>
      <c r="I984" s="413"/>
      <c r="J984" s="413"/>
      <c r="K984" s="413"/>
      <c r="L984" s="413"/>
      <c r="M984" s="413"/>
      <c r="N984" s="413"/>
      <c r="O984" s="413"/>
      <c r="P984" s="413"/>
      <c r="Q984" s="413"/>
      <c r="R984" s="413"/>
      <c r="S984" s="413"/>
      <c r="T984" s="413"/>
      <c r="U984" s="413"/>
      <c r="V984" s="413"/>
      <c r="W984" s="413"/>
      <c r="X984" s="413"/>
      <c r="Y984" s="413"/>
      <c r="Z984" s="413"/>
    </row>
    <row r="985" ht="12.0" customHeight="1">
      <c r="A985" s="413"/>
      <c r="B985" s="413"/>
      <c r="C985" s="414"/>
      <c r="D985" s="414"/>
      <c r="E985" s="414"/>
      <c r="F985" s="414"/>
      <c r="G985" s="413"/>
      <c r="H985" s="413"/>
      <c r="I985" s="413"/>
      <c r="J985" s="413"/>
      <c r="K985" s="413"/>
      <c r="L985" s="413"/>
      <c r="M985" s="413"/>
      <c r="N985" s="413"/>
      <c r="O985" s="413"/>
      <c r="P985" s="413"/>
      <c r="Q985" s="413"/>
      <c r="R985" s="413"/>
      <c r="S985" s="413"/>
      <c r="T985" s="413"/>
      <c r="U985" s="413"/>
      <c r="V985" s="413"/>
      <c r="W985" s="413"/>
      <c r="X985" s="413"/>
      <c r="Y985" s="413"/>
      <c r="Z985" s="413"/>
    </row>
    <row r="986" ht="12.0" customHeight="1">
      <c r="A986" s="413"/>
      <c r="B986" s="413"/>
      <c r="C986" s="414"/>
      <c r="D986" s="414"/>
      <c r="E986" s="414"/>
      <c r="F986" s="414"/>
      <c r="G986" s="413"/>
      <c r="H986" s="413"/>
      <c r="I986" s="413"/>
      <c r="J986" s="413"/>
      <c r="K986" s="413"/>
      <c r="L986" s="413"/>
      <c r="M986" s="413"/>
      <c r="N986" s="413"/>
      <c r="O986" s="413"/>
      <c r="P986" s="413"/>
      <c r="Q986" s="413"/>
      <c r="R986" s="413"/>
      <c r="S986" s="413"/>
      <c r="T986" s="413"/>
      <c r="U986" s="413"/>
      <c r="V986" s="413"/>
      <c r="W986" s="413"/>
      <c r="X986" s="413"/>
      <c r="Y986" s="413"/>
      <c r="Z986" s="413"/>
    </row>
    <row r="987" ht="12.0" customHeight="1">
      <c r="A987" s="413"/>
      <c r="B987" s="413"/>
      <c r="C987" s="414"/>
      <c r="D987" s="414"/>
      <c r="E987" s="414"/>
      <c r="F987" s="414"/>
      <c r="G987" s="413"/>
      <c r="H987" s="413"/>
      <c r="I987" s="413"/>
      <c r="J987" s="413"/>
      <c r="K987" s="413"/>
      <c r="L987" s="413"/>
      <c r="M987" s="413"/>
      <c r="N987" s="413"/>
      <c r="O987" s="413"/>
      <c r="P987" s="413"/>
      <c r="Q987" s="413"/>
      <c r="R987" s="413"/>
      <c r="S987" s="413"/>
      <c r="T987" s="413"/>
      <c r="U987" s="413"/>
      <c r="V987" s="413"/>
      <c r="W987" s="413"/>
      <c r="X987" s="413"/>
      <c r="Y987" s="413"/>
      <c r="Z987" s="413"/>
    </row>
    <row r="988" ht="12.0" customHeight="1">
      <c r="A988" s="413"/>
      <c r="B988" s="413"/>
      <c r="C988" s="414"/>
      <c r="D988" s="414"/>
      <c r="E988" s="414"/>
      <c r="F988" s="414"/>
      <c r="G988" s="413"/>
      <c r="H988" s="413"/>
      <c r="I988" s="413"/>
      <c r="J988" s="413"/>
      <c r="K988" s="413"/>
      <c r="L988" s="413"/>
      <c r="M988" s="413"/>
      <c r="N988" s="413"/>
      <c r="O988" s="413"/>
      <c r="P988" s="413"/>
      <c r="Q988" s="413"/>
      <c r="R988" s="413"/>
      <c r="S988" s="413"/>
      <c r="T988" s="413"/>
      <c r="U988" s="413"/>
      <c r="V988" s="413"/>
      <c r="W988" s="413"/>
      <c r="X988" s="413"/>
      <c r="Y988" s="413"/>
      <c r="Z988" s="413"/>
    </row>
    <row r="989" ht="12.0" customHeight="1">
      <c r="A989" s="413"/>
      <c r="B989" s="413"/>
      <c r="C989" s="414"/>
      <c r="D989" s="414"/>
      <c r="E989" s="414"/>
      <c r="F989" s="414"/>
      <c r="G989" s="413"/>
      <c r="H989" s="413"/>
      <c r="I989" s="413"/>
      <c r="J989" s="413"/>
      <c r="K989" s="413"/>
      <c r="L989" s="413"/>
      <c r="M989" s="413"/>
      <c r="N989" s="413"/>
      <c r="O989" s="413"/>
      <c r="P989" s="413"/>
      <c r="Q989" s="413"/>
      <c r="R989" s="413"/>
      <c r="S989" s="413"/>
      <c r="T989" s="413"/>
      <c r="U989" s="413"/>
      <c r="V989" s="413"/>
      <c r="W989" s="413"/>
      <c r="X989" s="413"/>
      <c r="Y989" s="413"/>
      <c r="Z989" s="413"/>
    </row>
    <row r="990" ht="12.0" customHeight="1">
      <c r="A990" s="413"/>
      <c r="B990" s="413"/>
      <c r="C990" s="414"/>
      <c r="D990" s="414"/>
      <c r="E990" s="414"/>
      <c r="F990" s="414"/>
      <c r="G990" s="413"/>
      <c r="H990" s="413"/>
      <c r="I990" s="413"/>
      <c r="J990" s="413"/>
      <c r="K990" s="413"/>
      <c r="L990" s="413"/>
      <c r="M990" s="413"/>
      <c r="N990" s="413"/>
      <c r="O990" s="413"/>
      <c r="P990" s="413"/>
      <c r="Q990" s="413"/>
      <c r="R990" s="413"/>
      <c r="S990" s="413"/>
      <c r="T990" s="413"/>
      <c r="U990" s="413"/>
      <c r="V990" s="413"/>
      <c r="W990" s="413"/>
      <c r="X990" s="413"/>
      <c r="Y990" s="413"/>
      <c r="Z990" s="413"/>
    </row>
    <row r="991" ht="12.0" customHeight="1">
      <c r="A991" s="413"/>
      <c r="B991" s="413"/>
      <c r="C991" s="414"/>
      <c r="D991" s="414"/>
      <c r="E991" s="414"/>
      <c r="F991" s="414"/>
      <c r="G991" s="413"/>
      <c r="H991" s="413"/>
      <c r="I991" s="413"/>
      <c r="J991" s="413"/>
      <c r="K991" s="413"/>
      <c r="L991" s="413"/>
      <c r="M991" s="413"/>
      <c r="N991" s="413"/>
      <c r="O991" s="413"/>
      <c r="P991" s="413"/>
      <c r="Q991" s="413"/>
      <c r="R991" s="413"/>
      <c r="S991" s="413"/>
      <c r="T991" s="413"/>
      <c r="U991" s="413"/>
      <c r="V991" s="413"/>
      <c r="W991" s="413"/>
      <c r="X991" s="413"/>
      <c r="Y991" s="413"/>
      <c r="Z991" s="413"/>
    </row>
    <row r="992" ht="12.0" customHeight="1">
      <c r="A992" s="413"/>
      <c r="B992" s="413"/>
      <c r="C992" s="414"/>
      <c r="D992" s="414"/>
      <c r="E992" s="414"/>
      <c r="F992" s="414"/>
      <c r="G992" s="413"/>
      <c r="H992" s="413"/>
      <c r="I992" s="413"/>
      <c r="J992" s="413"/>
      <c r="K992" s="413"/>
      <c r="L992" s="413"/>
      <c r="M992" s="413"/>
      <c r="N992" s="413"/>
      <c r="O992" s="413"/>
      <c r="P992" s="413"/>
      <c r="Q992" s="413"/>
      <c r="R992" s="413"/>
      <c r="S992" s="413"/>
      <c r="T992" s="413"/>
      <c r="U992" s="413"/>
      <c r="V992" s="413"/>
      <c r="W992" s="413"/>
      <c r="X992" s="413"/>
      <c r="Y992" s="413"/>
      <c r="Z992" s="413"/>
    </row>
    <row r="993" ht="12.0" customHeight="1">
      <c r="A993" s="413"/>
      <c r="B993" s="413"/>
      <c r="C993" s="414"/>
      <c r="D993" s="414"/>
      <c r="E993" s="414"/>
      <c r="F993" s="414"/>
      <c r="G993" s="413"/>
      <c r="H993" s="413"/>
      <c r="I993" s="413"/>
      <c r="J993" s="413"/>
      <c r="K993" s="413"/>
      <c r="L993" s="413"/>
      <c r="M993" s="413"/>
      <c r="N993" s="413"/>
      <c r="O993" s="413"/>
      <c r="P993" s="413"/>
      <c r="Q993" s="413"/>
      <c r="R993" s="413"/>
      <c r="S993" s="413"/>
      <c r="T993" s="413"/>
      <c r="U993" s="413"/>
      <c r="V993" s="413"/>
      <c r="W993" s="413"/>
      <c r="X993" s="413"/>
      <c r="Y993" s="413"/>
      <c r="Z993" s="413"/>
    </row>
    <row r="994" ht="12.0" customHeight="1">
      <c r="A994" s="413"/>
      <c r="B994" s="413"/>
      <c r="C994" s="414"/>
      <c r="D994" s="414"/>
      <c r="E994" s="414"/>
      <c r="F994" s="414"/>
      <c r="G994" s="413"/>
      <c r="H994" s="413"/>
      <c r="I994" s="413"/>
      <c r="J994" s="413"/>
      <c r="K994" s="413"/>
      <c r="L994" s="413"/>
      <c r="M994" s="413"/>
      <c r="N994" s="413"/>
      <c r="O994" s="413"/>
      <c r="P994" s="413"/>
      <c r="Q994" s="413"/>
      <c r="R994" s="413"/>
      <c r="S994" s="413"/>
      <c r="T994" s="413"/>
      <c r="U994" s="413"/>
      <c r="V994" s="413"/>
      <c r="W994" s="413"/>
      <c r="X994" s="413"/>
      <c r="Y994" s="413"/>
      <c r="Z994" s="413"/>
    </row>
    <row r="995" ht="12.0" customHeight="1">
      <c r="A995" s="413"/>
      <c r="B995" s="413"/>
      <c r="C995" s="414"/>
      <c r="D995" s="414"/>
      <c r="E995" s="414"/>
      <c r="F995" s="414"/>
      <c r="G995" s="413"/>
      <c r="H995" s="413"/>
      <c r="I995" s="413"/>
      <c r="J995" s="413"/>
      <c r="K995" s="413"/>
      <c r="L995" s="413"/>
      <c r="M995" s="413"/>
      <c r="N995" s="413"/>
      <c r="O995" s="413"/>
      <c r="P995" s="413"/>
      <c r="Q995" s="413"/>
      <c r="R995" s="413"/>
      <c r="S995" s="413"/>
      <c r="T995" s="413"/>
      <c r="U995" s="413"/>
      <c r="V995" s="413"/>
      <c r="W995" s="413"/>
      <c r="X995" s="413"/>
      <c r="Y995" s="413"/>
      <c r="Z995" s="413"/>
    </row>
    <row r="996" ht="12.0" customHeight="1">
      <c r="A996" s="413"/>
      <c r="B996" s="413"/>
      <c r="C996" s="414"/>
      <c r="D996" s="414"/>
      <c r="E996" s="414"/>
      <c r="F996" s="414"/>
      <c r="G996" s="413"/>
      <c r="H996" s="413"/>
      <c r="I996" s="413"/>
      <c r="J996" s="413"/>
      <c r="K996" s="413"/>
      <c r="L996" s="413"/>
      <c r="M996" s="413"/>
      <c r="N996" s="413"/>
      <c r="O996" s="413"/>
      <c r="P996" s="413"/>
      <c r="Q996" s="413"/>
      <c r="R996" s="413"/>
      <c r="S996" s="413"/>
      <c r="T996" s="413"/>
      <c r="U996" s="413"/>
      <c r="V996" s="413"/>
      <c r="W996" s="413"/>
      <c r="X996" s="413"/>
      <c r="Y996" s="413"/>
      <c r="Z996" s="413"/>
    </row>
    <row r="997" ht="12.0" customHeight="1">
      <c r="A997" s="413"/>
      <c r="B997" s="413"/>
      <c r="C997" s="414"/>
      <c r="D997" s="414"/>
      <c r="E997" s="414"/>
      <c r="F997" s="414"/>
      <c r="G997" s="413"/>
      <c r="H997" s="413"/>
      <c r="I997" s="413"/>
      <c r="J997" s="413"/>
      <c r="K997" s="413"/>
      <c r="L997" s="413"/>
      <c r="M997" s="413"/>
      <c r="N997" s="413"/>
      <c r="O997" s="413"/>
      <c r="P997" s="413"/>
      <c r="Q997" s="413"/>
      <c r="R997" s="413"/>
      <c r="S997" s="413"/>
      <c r="T997" s="413"/>
      <c r="U997" s="413"/>
      <c r="V997" s="413"/>
      <c r="W997" s="413"/>
      <c r="X997" s="413"/>
      <c r="Y997" s="413"/>
      <c r="Z997" s="413"/>
    </row>
    <row r="998" ht="12.0" customHeight="1">
      <c r="A998" s="413"/>
      <c r="B998" s="413"/>
      <c r="C998" s="414"/>
      <c r="D998" s="414"/>
      <c r="E998" s="414"/>
      <c r="F998" s="414"/>
      <c r="G998" s="413"/>
      <c r="H998" s="413"/>
      <c r="I998" s="413"/>
      <c r="J998" s="413"/>
      <c r="K998" s="413"/>
      <c r="L998" s="413"/>
      <c r="M998" s="413"/>
      <c r="N998" s="413"/>
      <c r="O998" s="413"/>
      <c r="P998" s="413"/>
      <c r="Q998" s="413"/>
      <c r="R998" s="413"/>
      <c r="S998" s="413"/>
      <c r="T998" s="413"/>
      <c r="U998" s="413"/>
      <c r="V998" s="413"/>
      <c r="W998" s="413"/>
      <c r="X998" s="413"/>
      <c r="Y998" s="413"/>
      <c r="Z998" s="413"/>
    </row>
    <row r="999" ht="12.0" customHeight="1">
      <c r="A999" s="413"/>
      <c r="B999" s="413"/>
      <c r="C999" s="414"/>
      <c r="D999" s="414"/>
      <c r="E999" s="414"/>
      <c r="F999" s="414"/>
      <c r="G999" s="413"/>
      <c r="H999" s="413"/>
      <c r="I999" s="413"/>
      <c r="J999" s="413"/>
      <c r="K999" s="413"/>
      <c r="L999" s="413"/>
      <c r="M999" s="413"/>
      <c r="N999" s="413"/>
      <c r="O999" s="413"/>
      <c r="P999" s="413"/>
      <c r="Q999" s="413"/>
      <c r="R999" s="413"/>
      <c r="S999" s="413"/>
      <c r="T999" s="413"/>
      <c r="U999" s="413"/>
      <c r="V999" s="413"/>
      <c r="W999" s="413"/>
      <c r="X999" s="413"/>
      <c r="Y999" s="413"/>
      <c r="Z999" s="413"/>
    </row>
    <row r="1000" ht="12.0" customHeight="1">
      <c r="A1000" s="413"/>
      <c r="B1000" s="413"/>
      <c r="C1000" s="414"/>
      <c r="D1000" s="414"/>
      <c r="E1000" s="414"/>
      <c r="F1000" s="414"/>
      <c r="G1000" s="413"/>
      <c r="H1000" s="413"/>
      <c r="I1000" s="413"/>
      <c r="J1000" s="413"/>
      <c r="K1000" s="413"/>
      <c r="L1000" s="413"/>
      <c r="M1000" s="413"/>
      <c r="N1000" s="413"/>
      <c r="O1000" s="413"/>
      <c r="P1000" s="413"/>
      <c r="Q1000" s="413"/>
      <c r="R1000" s="413"/>
      <c r="S1000" s="413"/>
      <c r="T1000" s="413"/>
      <c r="U1000" s="413"/>
      <c r="V1000" s="413"/>
      <c r="W1000" s="413"/>
      <c r="X1000" s="413"/>
      <c r="Y1000" s="413"/>
      <c r="Z1000" s="413"/>
    </row>
  </sheetData>
  <mergeCells count="1">
    <mergeCell ref="A1:D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67.43"/>
    <col customWidth="1" min="3" max="3" width="17.71"/>
    <col customWidth="1" min="4" max="5" width="17.14"/>
    <col customWidth="1" min="6" max="6" width="12.29"/>
    <col customWidth="1" min="7" max="7" width="12.57"/>
    <col customWidth="1" min="8" max="10" width="9.14"/>
    <col customWidth="1" min="11" max="12" width="12.29"/>
    <col customWidth="1" min="13" max="15" width="9.14"/>
    <col customWidth="1" min="16" max="16" width="10.57"/>
    <col customWidth="1" min="17" max="17" width="9.14"/>
    <col customWidth="1" min="18" max="26" width="8.0"/>
  </cols>
  <sheetData>
    <row r="1" ht="12.75" customHeight="1">
      <c r="A1" s="339" t="s">
        <v>1622</v>
      </c>
      <c r="B1" s="340"/>
      <c r="C1" s="340"/>
      <c r="D1" s="342"/>
      <c r="E1" s="328"/>
      <c r="F1" s="328"/>
      <c r="G1" s="328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ht="12.0" customHeight="1">
      <c r="A2" s="354"/>
      <c r="B2" s="356"/>
      <c r="C2" s="356"/>
      <c r="D2" s="358"/>
      <c r="E2" s="361">
        <v>2016.0</v>
      </c>
      <c r="F2" s="328"/>
      <c r="G2" s="328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ht="12.0" customHeight="1">
      <c r="A3" s="329" t="s">
        <v>1386</v>
      </c>
      <c r="B3" s="330" t="s">
        <v>1387</v>
      </c>
      <c r="C3" s="420">
        <v>2018.0</v>
      </c>
      <c r="D3" s="332">
        <f>2047.71+2208.92+1985.97+2064.86+2082.01+1835.05</f>
        <v>12224.52</v>
      </c>
      <c r="E3" s="332">
        <f>2291.24+1488.62+2082.01</f>
        <v>5861.87</v>
      </c>
      <c r="F3" s="359"/>
      <c r="G3" s="359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</row>
    <row r="4" ht="12.0" customHeight="1">
      <c r="A4" s="329" t="s">
        <v>1386</v>
      </c>
      <c r="B4" s="330" t="s">
        <v>48</v>
      </c>
      <c r="C4" s="420">
        <v>2018.0</v>
      </c>
      <c r="D4" s="332">
        <f>932.8+939.42+951.35+572.4+987.13+1918.6</f>
        <v>6301.7</v>
      </c>
      <c r="E4" s="332">
        <f>948.7+1071.93+710.2+663.83+879.8</f>
        <v>4274.46</v>
      </c>
      <c r="F4" s="359"/>
      <c r="G4" s="359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</row>
    <row r="5" ht="12.0" customHeight="1">
      <c r="A5" s="327"/>
      <c r="B5" s="327"/>
      <c r="C5" s="327"/>
      <c r="D5" s="328">
        <f t="shared" ref="D5:E5" si="1">SUM(D3:D4)</f>
        <v>18526.22</v>
      </c>
      <c r="E5" s="328">
        <f t="shared" si="1"/>
        <v>10136.33</v>
      </c>
      <c r="F5" s="328"/>
      <c r="G5" s="328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</row>
    <row r="6" ht="12.0" customHeight="1">
      <c r="A6" s="327"/>
      <c r="B6" s="335" t="s">
        <v>1391</v>
      </c>
      <c r="C6" s="335"/>
      <c r="D6" s="337">
        <f t="shared" ref="D6:E6" si="2">D5+(D5*10/100)</f>
        <v>20378.842</v>
      </c>
      <c r="E6" s="337">
        <f t="shared" si="2"/>
        <v>11149.963</v>
      </c>
      <c r="F6" s="328"/>
      <c r="G6" s="328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</row>
    <row r="7" ht="12.0" customHeight="1">
      <c r="A7" s="327"/>
      <c r="B7" s="327"/>
      <c r="C7" s="327"/>
      <c r="D7" s="328"/>
      <c r="E7" s="328"/>
      <c r="F7" s="328"/>
      <c r="G7" s="328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</row>
    <row r="8" ht="12.0" customHeight="1">
      <c r="A8" s="327"/>
      <c r="B8" s="327"/>
      <c r="C8" s="327"/>
      <c r="D8" s="361" t="s">
        <v>1623</v>
      </c>
      <c r="E8" s="361">
        <v>2016.0</v>
      </c>
      <c r="F8" s="328"/>
      <c r="G8" s="328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</row>
    <row r="9" ht="12.0" customHeight="1">
      <c r="A9" s="329" t="s">
        <v>1393</v>
      </c>
      <c r="B9" s="330" t="s">
        <v>1624</v>
      </c>
      <c r="C9" s="420">
        <v>2018.0</v>
      </c>
      <c r="D9" s="332">
        <f>2720.79+82.5+4998+4001.5+2040+1918.7+1464.97+495.95</f>
        <v>17722.41</v>
      </c>
      <c r="E9" s="332"/>
      <c r="F9" s="359"/>
      <c r="G9" s="359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</row>
    <row r="10" ht="12.0" customHeight="1">
      <c r="A10" s="329" t="s">
        <v>1393</v>
      </c>
      <c r="B10" s="330" t="s">
        <v>1395</v>
      </c>
      <c r="C10" s="420">
        <v>2018.0</v>
      </c>
      <c r="D10" s="332">
        <f>1120</f>
        <v>1120</v>
      </c>
      <c r="E10" s="332"/>
      <c r="F10" s="359"/>
      <c r="G10" s="359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</row>
    <row r="11" ht="12.0" customHeight="1">
      <c r="A11" s="329" t="s">
        <v>1393</v>
      </c>
      <c r="B11" s="330" t="s">
        <v>1153</v>
      </c>
      <c r="C11" s="420">
        <v>2018.0</v>
      </c>
      <c r="D11" s="332">
        <f>565.2+5313.6+3287.6+2094.84+1630.16+10746.2</f>
        <v>23637.6</v>
      </c>
      <c r="E11" s="332"/>
      <c r="F11" s="359"/>
      <c r="G11" s="359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</row>
    <row r="12" ht="12.0" customHeight="1">
      <c r="A12" s="329" t="s">
        <v>1393</v>
      </c>
      <c r="B12" s="330" t="s">
        <v>1397</v>
      </c>
      <c r="C12" s="420">
        <v>2018.0</v>
      </c>
      <c r="D12" s="332">
        <f>957.6+478.8</f>
        <v>1436.4</v>
      </c>
      <c r="E12" s="332"/>
      <c r="F12" s="359"/>
      <c r="G12" s="359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</row>
    <row r="13" ht="12.0" customHeight="1">
      <c r="A13" s="329" t="s">
        <v>1393</v>
      </c>
      <c r="B13" s="330" t="s">
        <v>1625</v>
      </c>
      <c r="C13" s="420">
        <v>2018.0</v>
      </c>
      <c r="D13" s="332">
        <f>3948.5+6474.09+1026.22+6559.78</f>
        <v>18008.59</v>
      </c>
      <c r="E13" s="332"/>
      <c r="F13" s="359"/>
      <c r="G13" s="359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</row>
    <row r="14" ht="12.0" customHeight="1">
      <c r="A14" s="329" t="s">
        <v>1393</v>
      </c>
      <c r="B14" s="330" t="s">
        <v>1626</v>
      </c>
      <c r="C14" s="420">
        <v>2018.0</v>
      </c>
      <c r="D14" s="332">
        <f>296+147.5+626.4+118</f>
        <v>1187.9</v>
      </c>
      <c r="E14" s="332"/>
      <c r="F14" s="359"/>
      <c r="G14" s="359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</row>
    <row r="15" ht="12.0" customHeight="1">
      <c r="A15" s="329" t="s">
        <v>1393</v>
      </c>
      <c r="B15" s="330" t="s">
        <v>1627</v>
      </c>
      <c r="C15" s="420">
        <v>2018.0</v>
      </c>
      <c r="D15" s="332">
        <f>493.1+458.37</f>
        <v>951.47</v>
      </c>
      <c r="E15" s="332"/>
      <c r="F15" s="359"/>
      <c r="G15" s="359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</row>
    <row r="16" ht="12.0" customHeight="1">
      <c r="A16" s="329" t="s">
        <v>1393</v>
      </c>
      <c r="B16" s="330" t="s">
        <v>1401</v>
      </c>
      <c r="C16" s="420">
        <v>2018.0</v>
      </c>
      <c r="D16" s="332">
        <f>6550+5346+3155.54+8009.93</f>
        <v>23061.47</v>
      </c>
      <c r="E16" s="332">
        <f>1229.78</f>
        <v>1229.78</v>
      </c>
      <c r="F16" s="359"/>
      <c r="G16" s="359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</row>
    <row r="17" ht="12.0" customHeight="1">
      <c r="A17" s="329" t="s">
        <v>1393</v>
      </c>
      <c r="B17" s="330" t="s">
        <v>1402</v>
      </c>
      <c r="C17" s="420">
        <v>2018.0</v>
      </c>
      <c r="D17" s="332">
        <f>420+15214+574.8+30188+2213.04+1163.76</f>
        <v>49773.6</v>
      </c>
      <c r="E17" s="332">
        <f>16165.6+1628.1</f>
        <v>17793.7</v>
      </c>
      <c r="F17" s="365"/>
      <c r="G17" s="365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</row>
    <row r="18" ht="12.0" customHeight="1">
      <c r="A18" s="327"/>
      <c r="B18" s="327"/>
      <c r="C18" s="328"/>
      <c r="D18" s="328">
        <f t="shared" ref="D18:E18" si="3">SUM(D9:D17)</f>
        <v>136899.44</v>
      </c>
      <c r="E18" s="328">
        <f t="shared" si="3"/>
        <v>19023.48</v>
      </c>
      <c r="F18" s="359"/>
      <c r="G18" s="359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27"/>
      <c r="S18" s="327"/>
      <c r="T18" s="327"/>
      <c r="U18" s="327"/>
      <c r="V18" s="327"/>
      <c r="W18" s="327"/>
      <c r="X18" s="327"/>
      <c r="Y18" s="327"/>
      <c r="Z18" s="327"/>
    </row>
    <row r="19" ht="12.0" customHeight="1">
      <c r="A19" s="327"/>
      <c r="B19" s="335" t="s">
        <v>1391</v>
      </c>
      <c r="C19" s="337"/>
      <c r="D19" s="337">
        <f t="shared" ref="D19:E19" si="4">D18+(D18*10/100)</f>
        <v>150589.384</v>
      </c>
      <c r="E19" s="337">
        <f t="shared" si="4"/>
        <v>20925.828</v>
      </c>
      <c r="F19" s="359"/>
      <c r="G19" s="359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27"/>
      <c r="S19" s="327"/>
      <c r="T19" s="327"/>
      <c r="U19" s="327"/>
      <c r="V19" s="327"/>
      <c r="W19" s="327"/>
      <c r="X19" s="327"/>
      <c r="Y19" s="327"/>
      <c r="Z19" s="327"/>
    </row>
    <row r="20" ht="12.0" customHeight="1">
      <c r="A20" s="327"/>
      <c r="B20" s="327"/>
      <c r="C20" s="327"/>
      <c r="D20" s="328"/>
      <c r="E20" s="328"/>
      <c r="F20" s="359"/>
      <c r="G20" s="359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27"/>
      <c r="S20" s="327"/>
      <c r="T20" s="327"/>
      <c r="U20" s="327"/>
      <c r="V20" s="327"/>
      <c r="W20" s="327"/>
      <c r="X20" s="327"/>
      <c r="Y20" s="327"/>
      <c r="Z20" s="327"/>
    </row>
    <row r="21" ht="12.0" customHeight="1">
      <c r="A21" s="327"/>
      <c r="B21" s="327"/>
      <c r="C21" s="327"/>
      <c r="D21" s="361" t="s">
        <v>1623</v>
      </c>
      <c r="E21" s="361" t="s">
        <v>1628</v>
      </c>
      <c r="F21" s="328"/>
      <c r="G21" s="328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</row>
    <row r="22" ht="12.0" customHeight="1">
      <c r="A22" s="329">
        <v>3009.0</v>
      </c>
      <c r="B22" s="330" t="s">
        <v>1410</v>
      </c>
      <c r="C22" s="420">
        <v>2018.0</v>
      </c>
      <c r="D22" s="332">
        <f>931.31+7787.15+4169.24+3308.14+138.6+1153.48+2172+960+10715.2+1631.96+667.91+784.74+207.48+8189.03+1107+6904.88+4046.24+3604.56+1514.95+40500+2649.03+3300.86+765.92</f>
        <v>107209.68</v>
      </c>
      <c r="E22" s="332">
        <v>5026.5</v>
      </c>
      <c r="F22" s="328"/>
      <c r="G22" s="328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34"/>
      <c r="S22" s="334"/>
      <c r="T22" s="334"/>
      <c r="U22" s="334"/>
      <c r="V22" s="334"/>
      <c r="W22" s="334"/>
      <c r="X22" s="334"/>
      <c r="Y22" s="334"/>
      <c r="Z22" s="334"/>
    </row>
    <row r="23" ht="12.0" customHeight="1">
      <c r="A23" s="329" t="s">
        <v>1411</v>
      </c>
      <c r="B23" s="330" t="s">
        <v>1474</v>
      </c>
      <c r="C23" s="420">
        <v>2018.0</v>
      </c>
      <c r="D23" s="332">
        <f>7149</f>
        <v>7149</v>
      </c>
      <c r="E23" s="332"/>
      <c r="F23" s="328"/>
      <c r="G23" s="328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34"/>
      <c r="S23" s="334"/>
      <c r="T23" s="334"/>
      <c r="U23" s="334"/>
      <c r="V23" s="334"/>
      <c r="W23" s="334"/>
      <c r="X23" s="334"/>
      <c r="Y23" s="334"/>
      <c r="Z23" s="334"/>
    </row>
    <row r="24" ht="12.0" customHeight="1">
      <c r="A24" s="327"/>
      <c r="B24" s="327"/>
      <c r="C24" s="328"/>
      <c r="D24" s="328">
        <f t="shared" ref="D24:E24" si="5">SUM(D22:D23)</f>
        <v>114358.68</v>
      </c>
      <c r="E24" s="328">
        <f t="shared" si="5"/>
        <v>5026.5</v>
      </c>
      <c r="F24" s="328"/>
      <c r="G24" s="328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</row>
    <row r="25" ht="12.0" customHeight="1">
      <c r="A25" s="327"/>
      <c r="B25" s="335" t="s">
        <v>1391</v>
      </c>
      <c r="C25" s="337"/>
      <c r="D25" s="337">
        <f t="shared" ref="D25:E25" si="6">D24+(D24*10/100)</f>
        <v>125794.548</v>
      </c>
      <c r="E25" s="337">
        <f t="shared" si="6"/>
        <v>5529.15</v>
      </c>
      <c r="F25" s="328"/>
      <c r="G25" s="328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</row>
    <row r="26" ht="12.0" customHeight="1">
      <c r="A26" s="327"/>
      <c r="B26" s="335"/>
      <c r="C26" s="335"/>
      <c r="D26" s="361" t="s">
        <v>1623</v>
      </c>
      <c r="E26" s="337"/>
      <c r="F26" s="328"/>
      <c r="G26" s="328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</row>
    <row r="27" ht="12.0" customHeight="1">
      <c r="A27" s="329" t="s">
        <v>1478</v>
      </c>
      <c r="B27" s="330" t="s">
        <v>1479</v>
      </c>
      <c r="C27" s="420">
        <v>2018.0</v>
      </c>
      <c r="D27" s="332"/>
      <c r="E27" s="359"/>
      <c r="F27" s="328"/>
      <c r="G27" s="328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</row>
    <row r="28" ht="12.75" customHeight="1">
      <c r="A28" s="343" t="s">
        <v>1478</v>
      </c>
      <c r="B28" s="344" t="s">
        <v>1481</v>
      </c>
      <c r="C28" s="420">
        <v>2018.0</v>
      </c>
      <c r="D28" s="345"/>
      <c r="E28" s="347"/>
      <c r="F28" s="328"/>
      <c r="G28" s="328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ht="12.75" customHeight="1">
      <c r="A29" s="346"/>
      <c r="B29" s="186"/>
      <c r="C29" s="347"/>
      <c r="D29" s="347">
        <f>SUM(D27:D28)</f>
        <v>0</v>
      </c>
      <c r="E29" s="347"/>
      <c r="F29" s="347"/>
      <c r="G29" s="347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ht="12.0" customHeight="1">
      <c r="A30" s="327"/>
      <c r="B30" s="335" t="s">
        <v>1391</v>
      </c>
      <c r="C30" s="337"/>
      <c r="D30" s="337">
        <f>D29+(D29*10/100)</f>
        <v>0</v>
      </c>
      <c r="E30" s="337"/>
      <c r="F30" s="328"/>
      <c r="G30" s="328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</row>
    <row r="31" ht="12.0" customHeight="1">
      <c r="A31" s="327"/>
      <c r="B31" s="335"/>
      <c r="C31" s="335"/>
      <c r="D31" s="337"/>
      <c r="E31" s="337"/>
      <c r="F31" s="328"/>
      <c r="G31" s="328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</row>
    <row r="32" ht="12.0" customHeight="1">
      <c r="A32" s="327"/>
      <c r="B32" s="327"/>
      <c r="C32" s="327"/>
      <c r="D32" s="361" t="s">
        <v>1623</v>
      </c>
      <c r="E32" s="328"/>
      <c r="F32" s="328"/>
      <c r="G32" s="328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</row>
    <row r="33" ht="12.75" customHeight="1">
      <c r="A33" s="421" t="s">
        <v>1416</v>
      </c>
      <c r="B33" s="372" t="s">
        <v>1629</v>
      </c>
      <c r="C33" s="422">
        <v>2018.0</v>
      </c>
      <c r="D33" s="423">
        <f>236.9+7550.73+1086.98+2252.31+1743+697+1425.55+7185+1461+8303.18+3670.73+447+899.4</f>
        <v>36958.78</v>
      </c>
      <c r="E33" s="347"/>
      <c r="F33" s="347"/>
      <c r="G33" s="347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ht="12.75" customHeight="1">
      <c r="A34" s="346"/>
      <c r="B34" s="186"/>
      <c r="C34" s="347"/>
      <c r="D34" s="347">
        <f>SUM(D33)</f>
        <v>36958.78</v>
      </c>
      <c r="E34" s="347"/>
      <c r="F34" s="328"/>
      <c r="G34" s="328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</row>
    <row r="35" ht="12.75" customHeight="1">
      <c r="A35" s="346"/>
      <c r="B35" s="335" t="s">
        <v>1391</v>
      </c>
      <c r="C35" s="337"/>
      <c r="D35" s="337">
        <f>D34+(D34*10/100)</f>
        <v>40654.658</v>
      </c>
      <c r="E35" s="337"/>
      <c r="F35" s="328"/>
      <c r="G35" s="328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</row>
    <row r="36" ht="12.75" customHeight="1">
      <c r="A36" s="346"/>
      <c r="B36" s="186"/>
      <c r="C36" s="186"/>
      <c r="D36" s="361" t="s">
        <v>1623</v>
      </c>
      <c r="E36" s="347"/>
      <c r="F36" s="328"/>
      <c r="G36" s="328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</row>
    <row r="37" ht="12.75" customHeight="1">
      <c r="A37" s="343" t="s">
        <v>1421</v>
      </c>
      <c r="B37" s="344" t="s">
        <v>1422</v>
      </c>
      <c r="C37" s="420">
        <v>2018.0</v>
      </c>
      <c r="D37" s="345"/>
      <c r="E37" s="347"/>
      <c r="F37" s="359"/>
      <c r="G37" s="359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ht="12.75" customHeight="1">
      <c r="A38" s="346"/>
      <c r="B38" s="186"/>
      <c r="C38" s="347"/>
      <c r="D38" s="347">
        <f>SUM(D37)</f>
        <v>0</v>
      </c>
      <c r="E38" s="347"/>
      <c r="F38" s="371"/>
      <c r="G38" s="371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</row>
    <row r="39" ht="12.75" customHeight="1">
      <c r="A39" s="346"/>
      <c r="B39" s="335" t="s">
        <v>1391</v>
      </c>
      <c r="C39" s="337"/>
      <c r="D39" s="337">
        <f>D38+(D38*10/100)</f>
        <v>0</v>
      </c>
      <c r="E39" s="337"/>
      <c r="F39" s="359"/>
      <c r="G39" s="359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</row>
    <row r="40" ht="12.75" customHeight="1">
      <c r="A40" s="346"/>
      <c r="B40" s="186"/>
      <c r="C40" s="186"/>
      <c r="D40" s="347"/>
      <c r="E40" s="347"/>
      <c r="F40" s="328"/>
      <c r="G40" s="328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</row>
    <row r="41" ht="12.0" customHeight="1">
      <c r="A41" s="327"/>
      <c r="B41" s="327"/>
      <c r="C41" s="327"/>
      <c r="D41" s="361" t="s">
        <v>1623</v>
      </c>
      <c r="E41" s="328"/>
      <c r="F41" s="328"/>
      <c r="G41" s="328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</row>
    <row r="42" ht="12.75" customHeight="1">
      <c r="A42" s="329" t="s">
        <v>1425</v>
      </c>
      <c r="B42" s="330" t="s">
        <v>1426</v>
      </c>
      <c r="C42" s="420">
        <v>2018.0</v>
      </c>
      <c r="D42" s="332">
        <v>20746.0</v>
      </c>
      <c r="E42" s="359"/>
      <c r="F42" s="328"/>
      <c r="G42" s="328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</row>
    <row r="43" ht="12.75" customHeight="1">
      <c r="A43" s="367"/>
      <c r="B43" s="344" t="s">
        <v>1422</v>
      </c>
      <c r="C43" s="420">
        <v>2018.0</v>
      </c>
      <c r="D43" s="373"/>
      <c r="E43" s="374"/>
      <c r="F43" s="328"/>
      <c r="G43" s="328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</row>
    <row r="44" ht="12.75" customHeight="1">
      <c r="A44" s="346"/>
      <c r="B44" s="186"/>
      <c r="C44" s="347"/>
      <c r="D44" s="347">
        <f>SUM(D42:D43)</f>
        <v>20746</v>
      </c>
      <c r="E44" s="347"/>
      <c r="F44" s="347"/>
      <c r="G44" s="347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27"/>
      <c r="S44" s="327"/>
      <c r="T44" s="327"/>
      <c r="U44" s="327"/>
      <c r="V44" s="327"/>
      <c r="W44" s="327"/>
      <c r="X44" s="327"/>
      <c r="Y44" s="327"/>
      <c r="Z44" s="327"/>
    </row>
    <row r="45" ht="12.75" customHeight="1">
      <c r="A45" s="327"/>
      <c r="B45" s="335" t="s">
        <v>1391</v>
      </c>
      <c r="C45" s="337"/>
      <c r="D45" s="337">
        <f>D44+(D44*10/100)</f>
        <v>22820.6</v>
      </c>
      <c r="E45" s="337"/>
      <c r="F45" s="347"/>
      <c r="G45" s="34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</row>
    <row r="46" ht="12.0" customHeight="1">
      <c r="A46" s="327"/>
      <c r="B46" s="327"/>
      <c r="C46" s="327"/>
      <c r="D46" s="328"/>
      <c r="E46" s="328"/>
      <c r="F46" s="328"/>
      <c r="G46" s="328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</row>
    <row r="47" ht="12.0" customHeight="1">
      <c r="A47" s="327"/>
      <c r="B47" s="327"/>
      <c r="C47" s="327"/>
      <c r="D47" s="361" t="s">
        <v>1623</v>
      </c>
      <c r="E47" s="328"/>
      <c r="F47" s="328"/>
      <c r="G47" s="328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34"/>
      <c r="S47" s="334"/>
      <c r="T47" s="334"/>
      <c r="U47" s="334"/>
      <c r="V47" s="334"/>
      <c r="W47" s="334"/>
      <c r="X47" s="334"/>
      <c r="Y47" s="334"/>
      <c r="Z47" s="334"/>
    </row>
    <row r="48" ht="12.0" customHeight="1">
      <c r="A48" s="329" t="s">
        <v>1434</v>
      </c>
      <c r="B48" s="330" t="s">
        <v>1631</v>
      </c>
      <c r="C48" s="420">
        <v>2018.0</v>
      </c>
      <c r="D48" s="332">
        <f>14848.18+7590.44+8672+322.92+200+532+5629.12+347.5+1559.25+1186.75+5599+171.6+2023.51+2687.4</f>
        <v>51369.67</v>
      </c>
      <c r="E48" s="359"/>
      <c r="F48" s="328"/>
      <c r="G48" s="328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34"/>
      <c r="S48" s="334"/>
      <c r="T48" s="334"/>
      <c r="U48" s="334"/>
      <c r="V48" s="334"/>
      <c r="W48" s="334"/>
      <c r="X48" s="334"/>
      <c r="Y48" s="334"/>
      <c r="Z48" s="334"/>
    </row>
    <row r="49" ht="12.75" customHeight="1">
      <c r="A49" s="329" t="s">
        <v>1434</v>
      </c>
      <c r="B49" s="330" t="s">
        <v>1436</v>
      </c>
      <c r="C49" s="420">
        <v>2018.0</v>
      </c>
      <c r="D49" s="332">
        <f>10125</f>
        <v>10125</v>
      </c>
      <c r="E49" s="359"/>
      <c r="F49" s="328"/>
      <c r="G49" s="328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ht="12.75" customHeight="1">
      <c r="A50" s="329" t="s">
        <v>1434</v>
      </c>
      <c r="B50" s="330" t="s">
        <v>1633</v>
      </c>
      <c r="C50" s="420">
        <v>2018.0</v>
      </c>
      <c r="D50" s="332">
        <f>6120+2280</f>
        <v>8400</v>
      </c>
      <c r="E50" s="359"/>
      <c r="F50" s="328"/>
      <c r="G50" s="32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ht="12.75" customHeight="1">
      <c r="A51" s="343" t="s">
        <v>1434</v>
      </c>
      <c r="B51" s="330" t="s">
        <v>1437</v>
      </c>
      <c r="C51" s="420">
        <v>2018.0</v>
      </c>
      <c r="D51" s="330"/>
      <c r="E51" s="347"/>
      <c r="F51" s="347"/>
      <c r="G51" s="347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</row>
    <row r="52" ht="12.75" customHeight="1">
      <c r="A52" s="343" t="s">
        <v>1434</v>
      </c>
      <c r="B52" s="344" t="s">
        <v>1438</v>
      </c>
      <c r="C52" s="420">
        <v>2018.0</v>
      </c>
      <c r="D52" s="345">
        <f>3742.5</f>
        <v>3742.5</v>
      </c>
      <c r="E52" s="347"/>
      <c r="F52" s="328"/>
      <c r="G52" s="328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</row>
    <row r="53" ht="12.75" customHeight="1">
      <c r="A53" s="343" t="s">
        <v>1434</v>
      </c>
      <c r="B53" s="344" t="s">
        <v>1634</v>
      </c>
      <c r="C53" s="420">
        <v>2018.0</v>
      </c>
      <c r="D53" s="345">
        <f>6090+16920</f>
        <v>23010</v>
      </c>
      <c r="E53" s="347"/>
      <c r="F53" s="328"/>
      <c r="G53" s="328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</row>
    <row r="54" ht="12.75" customHeight="1">
      <c r="A54" s="343" t="s">
        <v>1434</v>
      </c>
      <c r="B54" s="344" t="s">
        <v>1439</v>
      </c>
      <c r="C54" s="420">
        <v>2018.0</v>
      </c>
      <c r="D54" s="345"/>
      <c r="E54" s="347"/>
      <c r="F54" s="328"/>
      <c r="G54" s="328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</row>
    <row r="55" ht="12.0" customHeight="1">
      <c r="A55" s="327"/>
      <c r="B55" s="327"/>
      <c r="C55" s="328"/>
      <c r="D55" s="328">
        <f>SUM(D48:D54)</f>
        <v>96647.17</v>
      </c>
      <c r="E55" s="328"/>
      <c r="F55" s="328"/>
      <c r="G55" s="328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</row>
    <row r="56" ht="12.75" customHeight="1">
      <c r="A56" s="327"/>
      <c r="B56" s="335" t="s">
        <v>1391</v>
      </c>
      <c r="C56" s="337"/>
      <c r="D56" s="337">
        <f>D55+(D55*10/100)</f>
        <v>106311.887</v>
      </c>
      <c r="E56" s="337"/>
      <c r="F56" s="347"/>
      <c r="G56" s="34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</row>
    <row r="57" ht="12.75" customHeight="1">
      <c r="A57" s="327"/>
      <c r="B57" s="327"/>
      <c r="C57" s="327"/>
      <c r="D57" s="361" t="s">
        <v>1623</v>
      </c>
      <c r="E57" s="328"/>
      <c r="F57" s="347"/>
      <c r="G57" s="347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</row>
    <row r="58" ht="12.75" customHeight="1">
      <c r="A58" s="353" t="s">
        <v>1440</v>
      </c>
      <c r="B58" s="355" t="s">
        <v>1441</v>
      </c>
      <c r="C58" s="420">
        <v>2018.0</v>
      </c>
      <c r="D58" s="357"/>
      <c r="E58" s="365"/>
      <c r="F58" s="347"/>
      <c r="G58" s="34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ht="12.75" customHeight="1">
      <c r="A59" s="328"/>
      <c r="B59" s="335" t="s">
        <v>1391</v>
      </c>
      <c r="C59" s="337"/>
      <c r="D59" s="337">
        <f>D58+(D58*10/100)</f>
        <v>0</v>
      </c>
      <c r="E59" s="337"/>
      <c r="F59" s="347"/>
      <c r="G59" s="34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ht="12.75" customHeight="1">
      <c r="A60" s="327"/>
      <c r="B60" s="327"/>
      <c r="C60" s="327"/>
      <c r="D60" s="328"/>
      <c r="E60" s="328"/>
      <c r="F60" s="347"/>
      <c r="G60" s="34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ht="12.75" customHeight="1">
      <c r="A61" s="327"/>
      <c r="B61" s="335"/>
      <c r="C61" s="335"/>
      <c r="D61" s="361" t="s">
        <v>1623</v>
      </c>
      <c r="E61" s="337"/>
      <c r="F61" s="347"/>
      <c r="G61" s="347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ht="12.75" customHeight="1">
      <c r="A62" s="343" t="s">
        <v>1442</v>
      </c>
      <c r="B62" s="344" t="s">
        <v>1443</v>
      </c>
      <c r="C62" s="420">
        <v>2018.0</v>
      </c>
      <c r="D62" s="345"/>
      <c r="E62" s="347"/>
      <c r="F62" s="347"/>
      <c r="G62" s="347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</row>
    <row r="63" ht="12.75" customHeight="1">
      <c r="A63" s="343" t="s">
        <v>1442</v>
      </c>
      <c r="B63" s="344" t="s">
        <v>1444</v>
      </c>
      <c r="C63" s="420">
        <v>2018.0</v>
      </c>
      <c r="D63" s="345"/>
      <c r="E63" s="347"/>
      <c r="F63" s="328"/>
      <c r="G63" s="328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</row>
    <row r="64" ht="12.75" customHeight="1">
      <c r="A64" s="327"/>
      <c r="B64" s="335"/>
      <c r="C64" s="337"/>
      <c r="D64" s="337">
        <f>SUM(D62:D63)</f>
        <v>0</v>
      </c>
      <c r="E64" s="337"/>
      <c r="F64" s="328"/>
      <c r="G64" s="328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</row>
    <row r="65" ht="12.75" customHeight="1">
      <c r="A65" s="327"/>
      <c r="B65" s="335" t="s">
        <v>1391</v>
      </c>
      <c r="C65" s="337"/>
      <c r="D65" s="337">
        <f>D64+(D64*10/100)</f>
        <v>0</v>
      </c>
      <c r="E65" s="337"/>
      <c r="F65" s="328"/>
      <c r="G65" s="328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</row>
    <row r="66" ht="12.75" customHeight="1">
      <c r="A66" s="327"/>
      <c r="B66" s="335"/>
      <c r="C66" s="335"/>
      <c r="D66" s="337"/>
      <c r="E66" s="337"/>
      <c r="F66" s="359"/>
      <c r="G66" s="359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</row>
    <row r="67" ht="12.75" customHeight="1">
      <c r="A67" s="327"/>
      <c r="B67" s="335"/>
      <c r="C67" s="335"/>
      <c r="D67" s="361" t="s">
        <v>1623</v>
      </c>
      <c r="E67" s="337"/>
      <c r="F67" s="359"/>
      <c r="G67" s="359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</row>
    <row r="68" ht="12.75" customHeight="1">
      <c r="A68" s="343" t="s">
        <v>1445</v>
      </c>
      <c r="B68" s="344" t="s">
        <v>1446</v>
      </c>
      <c r="C68" s="420">
        <v>2018.0</v>
      </c>
      <c r="D68" s="345"/>
      <c r="E68" s="347"/>
      <c r="F68" s="359"/>
      <c r="G68" s="359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ht="12.0" customHeight="1">
      <c r="A69" s="327"/>
      <c r="B69" s="335" t="s">
        <v>1391</v>
      </c>
      <c r="C69" s="337"/>
      <c r="D69" s="337">
        <f>D68+(D68*10/100)</f>
        <v>0</v>
      </c>
      <c r="E69" s="337"/>
      <c r="F69" s="359"/>
      <c r="G69" s="359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ht="12.0" customHeight="1">
      <c r="A70" s="327"/>
      <c r="B70" s="335"/>
      <c r="C70" s="335"/>
      <c r="D70" s="361" t="s">
        <v>1623</v>
      </c>
      <c r="E70" s="337"/>
      <c r="F70" s="359"/>
      <c r="G70" s="359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34"/>
      <c r="S70" s="334"/>
      <c r="T70" s="334"/>
      <c r="U70" s="334"/>
      <c r="V70" s="334"/>
      <c r="W70" s="334"/>
      <c r="X70" s="334"/>
      <c r="Y70" s="334"/>
      <c r="Z70" s="334"/>
    </row>
    <row r="71" ht="12.0" customHeight="1">
      <c r="A71" s="329" t="s">
        <v>1448</v>
      </c>
      <c r="B71" s="330" t="s">
        <v>1518</v>
      </c>
      <c r="C71" s="420">
        <v>2018.0</v>
      </c>
      <c r="D71" s="332">
        <f>513.5+14.56+1304.04+1627.2+918+740.6</f>
        <v>5117.9</v>
      </c>
      <c r="E71" s="359"/>
      <c r="F71" s="328"/>
      <c r="G71" s="328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</row>
    <row r="72" ht="12.0" customHeight="1">
      <c r="A72" s="329" t="s">
        <v>1448</v>
      </c>
      <c r="B72" s="330" t="s">
        <v>1449</v>
      </c>
      <c r="C72" s="420">
        <v>2018.0</v>
      </c>
      <c r="D72" s="332"/>
      <c r="E72" s="359"/>
      <c r="F72" s="328"/>
      <c r="G72" s="328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27"/>
      <c r="S72" s="327"/>
      <c r="T72" s="327"/>
      <c r="U72" s="327"/>
      <c r="V72" s="327"/>
      <c r="W72" s="327"/>
      <c r="X72" s="327"/>
      <c r="Y72" s="327"/>
      <c r="Z72" s="327"/>
    </row>
    <row r="73" ht="12.0" customHeight="1">
      <c r="A73" s="327"/>
      <c r="B73" s="327"/>
      <c r="C73" s="328"/>
      <c r="D73" s="328">
        <f>SUM(D71:D72)</f>
        <v>5117.9</v>
      </c>
      <c r="E73" s="328"/>
      <c r="F73" s="328"/>
      <c r="G73" s="328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27"/>
      <c r="S73" s="327"/>
      <c r="T73" s="327"/>
      <c r="U73" s="327"/>
      <c r="V73" s="327"/>
      <c r="W73" s="327"/>
      <c r="X73" s="327"/>
      <c r="Y73" s="327"/>
      <c r="Z73" s="327"/>
    </row>
    <row r="74" ht="12.0" customHeight="1">
      <c r="A74" s="327"/>
      <c r="B74" s="335" t="s">
        <v>1391</v>
      </c>
      <c r="C74" s="337"/>
      <c r="D74" s="337">
        <f>D73+(D73*10/100)</f>
        <v>5629.69</v>
      </c>
      <c r="E74" s="337"/>
      <c r="F74" s="328"/>
      <c r="G74" s="328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27"/>
      <c r="S74" s="327"/>
      <c r="T74" s="327"/>
      <c r="U74" s="327"/>
      <c r="V74" s="327"/>
      <c r="W74" s="327"/>
      <c r="X74" s="327"/>
      <c r="Y74" s="327"/>
      <c r="Z74" s="327"/>
    </row>
    <row r="75" ht="12.75" customHeight="1">
      <c r="A75" s="327"/>
      <c r="B75" s="327"/>
      <c r="C75" s="327"/>
      <c r="D75" s="361" t="s">
        <v>1623</v>
      </c>
      <c r="E75" s="361">
        <v>2016.0</v>
      </c>
      <c r="F75" s="347"/>
      <c r="G75" s="347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</row>
    <row r="76" ht="12.75" customHeight="1">
      <c r="A76" s="329" t="s">
        <v>1450</v>
      </c>
      <c r="B76" s="330" t="s">
        <v>575</v>
      </c>
      <c r="C76" s="420">
        <v>2018.0</v>
      </c>
      <c r="D76" s="332">
        <f>31.04+406.3+3029+5747+17952+1350+195.31+934.89+146.45+3955+260+362.78+101.61+131.92+1836+27796.7+8371.2+67.6+1110+1042.65+135.48+158.85+1094.7+230+4636.45+2322+1503.2+1712.27+3932.2+41.96+1873+2646+118.36+3380.94+136.47</f>
        <v>98749.33</v>
      </c>
      <c r="E76" s="332">
        <f>164.9+63.54+118.13</f>
        <v>346.57</v>
      </c>
      <c r="F76" s="347"/>
      <c r="G76" s="34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34"/>
      <c r="S76" s="334"/>
      <c r="T76" s="334"/>
      <c r="U76" s="334"/>
      <c r="V76" s="334"/>
      <c r="W76" s="334"/>
      <c r="X76" s="334"/>
      <c r="Y76" s="334"/>
      <c r="Z76" s="334"/>
    </row>
    <row r="77" ht="12.0" customHeight="1">
      <c r="A77" s="329" t="s">
        <v>1450</v>
      </c>
      <c r="B77" s="330" t="s">
        <v>1451</v>
      </c>
      <c r="C77" s="420">
        <v>2018.0</v>
      </c>
      <c r="D77" s="332">
        <f>5456.55+5449.05+506.6+320+19773+13245.9+990+1664</f>
        <v>47405.1</v>
      </c>
      <c r="E77" s="332"/>
      <c r="F77" s="359"/>
      <c r="G77" s="359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34"/>
      <c r="S77" s="334"/>
      <c r="T77" s="334"/>
      <c r="U77" s="334"/>
      <c r="V77" s="334"/>
      <c r="W77" s="334"/>
      <c r="X77" s="334"/>
      <c r="Y77" s="334"/>
      <c r="Z77" s="334"/>
    </row>
    <row r="78" ht="12.75" customHeight="1">
      <c r="A78" s="329">
        <v>3035.0</v>
      </c>
      <c r="B78" s="330" t="s">
        <v>1536</v>
      </c>
      <c r="C78" s="420">
        <v>2018.0</v>
      </c>
      <c r="D78" s="332">
        <f>2698.27</f>
        <v>2698.27</v>
      </c>
      <c r="E78" s="345"/>
      <c r="F78" s="347"/>
      <c r="G78" s="34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34"/>
      <c r="S78" s="334"/>
      <c r="T78" s="334"/>
      <c r="U78" s="334"/>
      <c r="V78" s="334"/>
      <c r="W78" s="334"/>
      <c r="X78" s="334"/>
      <c r="Y78" s="334"/>
      <c r="Z78" s="334"/>
    </row>
    <row r="79" ht="12.75" customHeight="1">
      <c r="A79" s="329" t="s">
        <v>1450</v>
      </c>
      <c r="B79" s="330" t="s">
        <v>1635</v>
      </c>
      <c r="C79" s="420">
        <v>2018.0</v>
      </c>
      <c r="D79" s="332">
        <f>21168</f>
        <v>21168</v>
      </c>
      <c r="E79" s="345"/>
      <c r="F79" s="347"/>
      <c r="G79" s="34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34"/>
      <c r="S79" s="334"/>
      <c r="T79" s="334"/>
      <c r="U79" s="334"/>
      <c r="V79" s="334"/>
      <c r="W79" s="334"/>
      <c r="X79" s="334"/>
      <c r="Y79" s="334"/>
      <c r="Z79" s="334"/>
    </row>
    <row r="80" ht="12.75" customHeight="1">
      <c r="A80" s="362" t="s">
        <v>1450</v>
      </c>
      <c r="B80" s="363" t="s">
        <v>1456</v>
      </c>
      <c r="C80" s="420">
        <v>2018.0</v>
      </c>
      <c r="D80" s="332"/>
      <c r="E80" s="332"/>
      <c r="F80" s="359"/>
      <c r="G80" s="359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</row>
    <row r="81" ht="12.75" customHeight="1">
      <c r="A81" s="343" t="s">
        <v>1450</v>
      </c>
      <c r="B81" s="344" t="s">
        <v>1459</v>
      </c>
      <c r="C81" s="420">
        <v>2018.0</v>
      </c>
      <c r="D81" s="345">
        <f>4980.6+768.4</f>
        <v>5749</v>
      </c>
      <c r="E81" s="332"/>
      <c r="F81" s="359"/>
      <c r="G81" s="359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ht="12.0" customHeight="1">
      <c r="A82" s="327"/>
      <c r="B82" s="327"/>
      <c r="C82" s="328"/>
      <c r="D82" s="328">
        <f t="shared" ref="D82:E82" si="7">SUM(D76:D81)</f>
        <v>175769.7</v>
      </c>
      <c r="E82" s="328">
        <f t="shared" si="7"/>
        <v>346.57</v>
      </c>
      <c r="F82" s="359"/>
      <c r="G82" s="359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27"/>
      <c r="S82" s="327"/>
      <c r="T82" s="327"/>
      <c r="U82" s="327"/>
      <c r="V82" s="327"/>
      <c r="W82" s="327"/>
      <c r="X82" s="327"/>
      <c r="Y82" s="327"/>
      <c r="Z82" s="327"/>
    </row>
    <row r="83" ht="12.0" customHeight="1">
      <c r="A83" s="327"/>
      <c r="B83" s="335" t="s">
        <v>1391</v>
      </c>
      <c r="C83" s="337"/>
      <c r="D83" s="337">
        <f t="shared" ref="D83:E83" si="8">D82+(D82*10/100)</f>
        <v>193346.67</v>
      </c>
      <c r="E83" s="337">
        <f t="shared" si="8"/>
        <v>381.227</v>
      </c>
      <c r="F83" s="328"/>
      <c r="G83" s="328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27"/>
      <c r="S83" s="327"/>
      <c r="T83" s="327"/>
      <c r="U83" s="327"/>
      <c r="V83" s="327"/>
      <c r="W83" s="327"/>
      <c r="X83" s="327"/>
      <c r="Y83" s="327"/>
      <c r="Z83" s="327"/>
    </row>
    <row r="84" ht="12.0" customHeight="1">
      <c r="A84" s="327"/>
      <c r="B84" s="327"/>
      <c r="C84" s="327"/>
      <c r="D84" s="328"/>
      <c r="E84" s="328"/>
      <c r="F84" s="328"/>
      <c r="G84" s="328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27"/>
      <c r="S84" s="327"/>
      <c r="T84" s="327"/>
      <c r="U84" s="327"/>
      <c r="V84" s="327"/>
      <c r="W84" s="327"/>
      <c r="X84" s="327"/>
      <c r="Y84" s="327"/>
      <c r="Z84" s="327"/>
    </row>
    <row r="85" ht="12.0" customHeight="1">
      <c r="A85" s="327"/>
      <c r="B85" s="327"/>
      <c r="C85" s="327"/>
      <c r="D85" s="361" t="s">
        <v>1623</v>
      </c>
      <c r="E85" s="361">
        <v>2016.0</v>
      </c>
      <c r="F85" s="328"/>
      <c r="G85" s="328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</row>
    <row r="86" ht="12.0" customHeight="1">
      <c r="A86" s="329" t="s">
        <v>1463</v>
      </c>
      <c r="B86" s="330" t="s">
        <v>1464</v>
      </c>
      <c r="C86" s="420">
        <v>2018.0</v>
      </c>
      <c r="D86" s="332">
        <f>11950+400+3780+1120+83688+98647+23317.6+27718.77+13939.2+887.04+20469.39+3024+36040+6160</f>
        <v>331141</v>
      </c>
      <c r="E86" s="389"/>
      <c r="F86" s="328"/>
      <c r="G86" s="328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</row>
    <row r="87" ht="12.0" customHeight="1">
      <c r="A87" s="329" t="s">
        <v>1463</v>
      </c>
      <c r="B87" s="330" t="s">
        <v>1636</v>
      </c>
      <c r="C87" s="420">
        <v>2018.0</v>
      </c>
      <c r="D87" s="332">
        <f>4519.85+14700</f>
        <v>19219.85</v>
      </c>
      <c r="E87" s="389"/>
      <c r="F87" s="328"/>
      <c r="G87" s="328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</row>
    <row r="88" ht="12.75" customHeight="1">
      <c r="A88" s="329" t="s">
        <v>1463</v>
      </c>
      <c r="B88" s="330" t="s">
        <v>1469</v>
      </c>
      <c r="C88" s="420">
        <v>2018.0</v>
      </c>
      <c r="D88" s="332"/>
      <c r="E88" s="389"/>
      <c r="F88" s="347"/>
      <c r="G88" s="347"/>
      <c r="H88" s="327"/>
      <c r="I88" s="327"/>
      <c r="J88" s="327"/>
      <c r="K88" s="327"/>
      <c r="L88" s="327"/>
      <c r="M88" s="327"/>
      <c r="N88" s="327"/>
      <c r="O88" s="327"/>
      <c r="P88" s="327"/>
      <c r="Q88" s="327"/>
      <c r="R88" s="334"/>
      <c r="S88" s="334"/>
      <c r="T88" s="334"/>
      <c r="U88" s="334"/>
      <c r="V88" s="334"/>
      <c r="W88" s="334"/>
      <c r="X88" s="334"/>
      <c r="Y88" s="334"/>
      <c r="Z88" s="334"/>
    </row>
    <row r="89" ht="12.75" customHeight="1">
      <c r="A89" s="329" t="s">
        <v>1463</v>
      </c>
      <c r="B89" s="330" t="s">
        <v>1545</v>
      </c>
      <c r="C89" s="420">
        <v>2018.0</v>
      </c>
      <c r="D89" s="332">
        <f>19991+2920.32+4054.22+6971.25</f>
        <v>33936.79</v>
      </c>
      <c r="E89" s="389"/>
      <c r="F89" s="347"/>
      <c r="G89" s="34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34"/>
      <c r="S89" s="334"/>
      <c r="T89" s="334"/>
      <c r="U89" s="334"/>
      <c r="V89" s="334"/>
      <c r="W89" s="334"/>
      <c r="X89" s="334"/>
      <c r="Y89" s="334"/>
      <c r="Z89" s="334"/>
    </row>
    <row r="90" ht="12.75" customHeight="1">
      <c r="A90" s="329" t="s">
        <v>1463</v>
      </c>
      <c r="B90" s="330" t="s">
        <v>1546</v>
      </c>
      <c r="C90" s="420">
        <v>2018.0</v>
      </c>
      <c r="D90" s="332">
        <f>1432.32</f>
        <v>1432.32</v>
      </c>
      <c r="E90" s="389"/>
      <c r="F90" s="347"/>
      <c r="G90" s="34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34"/>
      <c r="S90" s="334"/>
      <c r="T90" s="334"/>
      <c r="U90" s="334"/>
      <c r="V90" s="334"/>
      <c r="W90" s="334"/>
      <c r="X90" s="334"/>
      <c r="Y90" s="334"/>
      <c r="Z90" s="334"/>
    </row>
    <row r="91" ht="12.75" customHeight="1">
      <c r="A91" s="329">
        <v>3036.0</v>
      </c>
      <c r="B91" s="330" t="s">
        <v>1470</v>
      </c>
      <c r="C91" s="420">
        <v>2018.0</v>
      </c>
      <c r="D91" s="332">
        <f>7550+22495</f>
        <v>30045</v>
      </c>
      <c r="E91" s="389"/>
      <c r="F91" s="347"/>
      <c r="G91" s="34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34"/>
      <c r="S91" s="334"/>
      <c r="T91" s="334"/>
      <c r="U91" s="334"/>
      <c r="V91" s="334"/>
      <c r="W91" s="334"/>
      <c r="X91" s="334"/>
      <c r="Y91" s="334"/>
      <c r="Z91" s="334"/>
    </row>
    <row r="92" ht="12.75" customHeight="1">
      <c r="A92" s="362">
        <v>3036.0</v>
      </c>
      <c r="B92" s="367" t="s">
        <v>1471</v>
      </c>
      <c r="C92" s="420">
        <v>2018.0</v>
      </c>
      <c r="D92" s="364">
        <f>4484.6</f>
        <v>4484.6</v>
      </c>
      <c r="E92" s="389"/>
      <c r="F92" s="347"/>
      <c r="G92" s="34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34"/>
      <c r="S92" s="334"/>
      <c r="T92" s="334"/>
      <c r="U92" s="334"/>
      <c r="V92" s="334"/>
      <c r="W92" s="334"/>
      <c r="X92" s="334"/>
      <c r="Y92" s="334"/>
      <c r="Z92" s="334"/>
    </row>
    <row r="93" ht="12.75" customHeight="1">
      <c r="A93" s="329" t="s">
        <v>1463</v>
      </c>
      <c r="B93" s="330" t="s">
        <v>1475</v>
      </c>
      <c r="C93" s="420">
        <v>2018.0</v>
      </c>
      <c r="D93" s="330"/>
      <c r="E93" s="389"/>
      <c r="F93" s="347"/>
      <c r="G93" s="34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34"/>
      <c r="S93" s="334"/>
      <c r="T93" s="334"/>
      <c r="U93" s="334"/>
      <c r="V93" s="334"/>
      <c r="W93" s="334"/>
      <c r="X93" s="334"/>
      <c r="Y93" s="334"/>
      <c r="Z93" s="334"/>
    </row>
    <row r="94" ht="12.75" customHeight="1">
      <c r="A94" s="329" t="s">
        <v>1463</v>
      </c>
      <c r="B94" s="330" t="s">
        <v>1637</v>
      </c>
      <c r="C94" s="420">
        <v>2018.0</v>
      </c>
      <c r="D94" s="332">
        <f>11587</f>
        <v>11587</v>
      </c>
      <c r="E94" s="389"/>
      <c r="F94" s="347"/>
      <c r="G94" s="34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34"/>
      <c r="S94" s="334"/>
      <c r="T94" s="334"/>
      <c r="U94" s="334"/>
      <c r="V94" s="334"/>
      <c r="W94" s="334"/>
      <c r="X94" s="334"/>
      <c r="Y94" s="334"/>
      <c r="Z94" s="334"/>
    </row>
    <row r="95" ht="12.75" customHeight="1">
      <c r="A95" s="329" t="s">
        <v>1463</v>
      </c>
      <c r="B95" s="330" t="s">
        <v>1476</v>
      </c>
      <c r="C95" s="420">
        <v>2018.0</v>
      </c>
      <c r="D95" s="332"/>
      <c r="E95" s="389"/>
      <c r="F95" s="347"/>
      <c r="G95" s="347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</row>
    <row r="96" ht="12.75" customHeight="1">
      <c r="A96" s="368" t="s">
        <v>1463</v>
      </c>
      <c r="B96" s="369" t="s">
        <v>1480</v>
      </c>
      <c r="C96" s="420">
        <v>2018.0</v>
      </c>
      <c r="D96" s="370">
        <f>1337.4+222+11146.25+57.92</f>
        <v>12763.57</v>
      </c>
      <c r="E96" s="389"/>
      <c r="F96" s="347"/>
      <c r="G96" s="347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</row>
    <row r="97" ht="12.75" customHeight="1">
      <c r="A97" s="343" t="s">
        <v>1463</v>
      </c>
      <c r="B97" s="344" t="s">
        <v>1483</v>
      </c>
      <c r="C97" s="420">
        <v>2018.0</v>
      </c>
      <c r="D97" s="345">
        <f>20587.5+15450</f>
        <v>36037.5</v>
      </c>
      <c r="E97" s="389"/>
      <c r="F97" s="347"/>
      <c r="G97" s="347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</row>
    <row r="98" ht="12.75" customHeight="1">
      <c r="A98" s="343" t="s">
        <v>1463</v>
      </c>
      <c r="B98" s="372" t="s">
        <v>1484</v>
      </c>
      <c r="C98" s="420">
        <v>2018.0</v>
      </c>
      <c r="D98" s="423">
        <f>1620+6912+185+12534+1910+1910+7640+23994</f>
        <v>56705</v>
      </c>
      <c r="E98" s="389"/>
      <c r="F98" s="347"/>
      <c r="G98" s="347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</row>
    <row r="99" ht="12.75" customHeight="1">
      <c r="A99" s="343" t="s">
        <v>1463</v>
      </c>
      <c r="B99" s="372" t="s">
        <v>1488</v>
      </c>
      <c r="C99" s="420">
        <v>2018.0</v>
      </c>
      <c r="D99" s="423">
        <f>5573.75+1840</f>
        <v>7413.75</v>
      </c>
      <c r="E99" s="345"/>
      <c r="F99" s="347"/>
      <c r="G99" s="347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</row>
    <row r="100" ht="12.75" customHeight="1">
      <c r="A100" s="343" t="s">
        <v>1463</v>
      </c>
      <c r="B100" s="372" t="s">
        <v>1490</v>
      </c>
      <c r="C100" s="420">
        <v>2018.0</v>
      </c>
      <c r="D100" s="344"/>
      <c r="E100" s="345"/>
      <c r="F100" s="359"/>
      <c r="G100" s="359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</row>
    <row r="101" ht="12.75" customHeight="1">
      <c r="A101" s="343" t="s">
        <v>1463</v>
      </c>
      <c r="B101" s="372" t="s">
        <v>1569</v>
      </c>
      <c r="C101" s="420">
        <v>2018.0</v>
      </c>
      <c r="D101" s="332">
        <f>1066</f>
        <v>1066</v>
      </c>
      <c r="E101" s="345"/>
      <c r="F101" s="359"/>
      <c r="G101" s="359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</row>
    <row r="102" ht="12.75" customHeight="1">
      <c r="A102" s="343" t="s">
        <v>1463</v>
      </c>
      <c r="B102" s="372" t="s">
        <v>1493</v>
      </c>
      <c r="C102" s="420">
        <v>2018.0</v>
      </c>
      <c r="D102" s="345"/>
      <c r="E102" s="389"/>
      <c r="F102" s="359"/>
      <c r="G102" s="359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</row>
    <row r="103" ht="12.75" customHeight="1">
      <c r="A103" s="343" t="s">
        <v>1463</v>
      </c>
      <c r="B103" s="372" t="s">
        <v>1574</v>
      </c>
      <c r="C103" s="420">
        <v>2018.0</v>
      </c>
      <c r="D103" s="345">
        <f>1045.6</f>
        <v>1045.6</v>
      </c>
      <c r="E103" s="389"/>
      <c r="F103" s="359"/>
      <c r="G103" s="359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</row>
    <row r="104" ht="12.75" customHeight="1">
      <c r="A104" s="343" t="s">
        <v>1463</v>
      </c>
      <c r="B104" s="372" t="s">
        <v>1578</v>
      </c>
      <c r="C104" s="420">
        <v>2018.0</v>
      </c>
      <c r="D104" s="345"/>
      <c r="E104" s="389"/>
      <c r="F104" s="359"/>
      <c r="G104" s="359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</row>
    <row r="105" ht="12.75" customHeight="1">
      <c r="A105" s="343" t="s">
        <v>1463</v>
      </c>
      <c r="B105" s="372" t="s">
        <v>1638</v>
      </c>
      <c r="C105" s="420">
        <v>2018.0</v>
      </c>
      <c r="D105" s="423">
        <f>460+159.84</f>
        <v>619.84</v>
      </c>
      <c r="E105" s="389"/>
      <c r="F105" s="359"/>
      <c r="G105" s="359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</row>
    <row r="106" ht="12.75" customHeight="1">
      <c r="A106" s="343" t="s">
        <v>1463</v>
      </c>
      <c r="B106" s="372" t="s">
        <v>1639</v>
      </c>
      <c r="C106" s="420">
        <v>2018.0</v>
      </c>
      <c r="D106" s="423">
        <f>800+14100+4800</f>
        <v>19700</v>
      </c>
      <c r="E106" s="389"/>
      <c r="F106" s="359"/>
      <c r="G106" s="359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</row>
    <row r="107" ht="12.75" customHeight="1">
      <c r="A107" s="343" t="s">
        <v>1463</v>
      </c>
      <c r="B107" s="372" t="s">
        <v>1640</v>
      </c>
      <c r="C107" s="420">
        <v>2018.0</v>
      </c>
      <c r="D107" s="423">
        <f>35000+5145+3564</f>
        <v>43709</v>
      </c>
      <c r="E107" s="389"/>
      <c r="F107" s="359"/>
      <c r="G107" s="359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</row>
    <row r="108" ht="12.75" customHeight="1">
      <c r="A108" s="343" t="s">
        <v>1463</v>
      </c>
      <c r="B108" s="372" t="s">
        <v>1582</v>
      </c>
      <c r="C108" s="420">
        <v>2018.0</v>
      </c>
      <c r="D108" s="345"/>
      <c r="E108" s="389"/>
      <c r="F108" s="359"/>
      <c r="G108" s="359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</row>
    <row r="109" ht="12.75" customHeight="1">
      <c r="A109" s="343" t="s">
        <v>1463</v>
      </c>
      <c r="B109" s="372" t="s">
        <v>1641</v>
      </c>
      <c r="C109" s="420">
        <v>2018.0</v>
      </c>
      <c r="D109" s="345">
        <v>5381.0</v>
      </c>
      <c r="E109" s="389"/>
      <c r="F109" s="359"/>
      <c r="G109" s="359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</row>
    <row r="110" ht="12.75" customHeight="1">
      <c r="A110" s="343" t="s">
        <v>1463</v>
      </c>
      <c r="B110" s="372" t="s">
        <v>1642</v>
      </c>
      <c r="C110" s="420">
        <v>2018.0</v>
      </c>
      <c r="D110" s="345">
        <f>3434+5913+1958</f>
        <v>11305</v>
      </c>
      <c r="E110" s="389"/>
      <c r="F110" s="359"/>
      <c r="G110" s="359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</row>
    <row r="111" ht="12.75" customHeight="1">
      <c r="A111" s="343" t="s">
        <v>1463</v>
      </c>
      <c r="B111" s="372" t="s">
        <v>1643</v>
      </c>
      <c r="C111" s="420">
        <v>2018.0</v>
      </c>
      <c r="D111" s="345">
        <f>160.8+12999.9</f>
        <v>13160.7</v>
      </c>
      <c r="E111" s="389">
        <f>14700+10750.72</f>
        <v>25450.72</v>
      </c>
      <c r="F111" s="359"/>
      <c r="G111" s="359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</row>
    <row r="112" ht="12.75" customHeight="1">
      <c r="A112" s="346"/>
      <c r="B112" s="186"/>
      <c r="C112" s="347"/>
      <c r="D112" s="347">
        <f t="shared" ref="D112:E112" si="9">SUM(D86:D111)</f>
        <v>640753.52</v>
      </c>
      <c r="E112" s="347">
        <f t="shared" si="9"/>
        <v>25450.72</v>
      </c>
      <c r="F112" s="359"/>
      <c r="G112" s="359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</row>
    <row r="113" ht="12.75" customHeight="1">
      <c r="A113" s="346"/>
      <c r="B113" s="335" t="s">
        <v>1391</v>
      </c>
      <c r="C113" s="337"/>
      <c r="D113" s="337">
        <f t="shared" ref="D113:E113" si="10">D112+(D112*10/100)</f>
        <v>704828.872</v>
      </c>
      <c r="E113" s="337">
        <f t="shared" si="10"/>
        <v>27995.792</v>
      </c>
      <c r="F113" s="359"/>
      <c r="G113" s="359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</row>
    <row r="114" ht="12.75" customHeight="1">
      <c r="A114" s="346"/>
      <c r="B114" s="335"/>
      <c r="C114" s="335"/>
      <c r="D114" s="337"/>
      <c r="E114" s="337"/>
      <c r="F114" s="359"/>
      <c r="G114" s="359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</row>
    <row r="115" ht="12.75" customHeight="1">
      <c r="A115" s="346"/>
      <c r="B115" s="335"/>
      <c r="C115" s="335"/>
      <c r="D115" s="361" t="s">
        <v>1623</v>
      </c>
      <c r="E115" s="361"/>
      <c r="F115" s="328"/>
      <c r="G115" s="328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</row>
    <row r="116" ht="12.0" customHeight="1">
      <c r="A116" s="329" t="s">
        <v>1585</v>
      </c>
      <c r="B116" s="330" t="s">
        <v>1586</v>
      </c>
      <c r="C116" s="420">
        <v>2018.0</v>
      </c>
      <c r="D116" s="332">
        <f>5807.44</f>
        <v>5807.44</v>
      </c>
      <c r="E116" s="389"/>
      <c r="F116" s="328"/>
      <c r="G116" s="328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</row>
    <row r="117" ht="12.0" customHeight="1">
      <c r="A117" s="327"/>
      <c r="B117" s="335" t="s">
        <v>1391</v>
      </c>
      <c r="C117" s="335"/>
      <c r="D117" s="337">
        <f t="shared" ref="D117:E117" si="11">D116+(D116*10/100)</f>
        <v>6388.184</v>
      </c>
      <c r="E117" s="337">
        <f t="shared" si="11"/>
        <v>0</v>
      </c>
      <c r="F117" s="328"/>
      <c r="G117" s="328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</row>
    <row r="118" ht="12.75" customHeight="1">
      <c r="A118" s="346"/>
      <c r="B118" s="335"/>
      <c r="C118" s="335"/>
      <c r="D118" s="361" t="s">
        <v>1623</v>
      </c>
      <c r="E118" s="361">
        <v>2016.0</v>
      </c>
      <c r="F118" s="328"/>
      <c r="G118" s="328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</row>
    <row r="119" ht="12.0" customHeight="1">
      <c r="A119" s="329" t="s">
        <v>1644</v>
      </c>
      <c r="B119" s="330" t="s">
        <v>1645</v>
      </c>
      <c r="C119" s="420">
        <v>2018.0</v>
      </c>
      <c r="D119" s="332">
        <f>2310</f>
        <v>2310</v>
      </c>
      <c r="E119" s="389"/>
      <c r="F119" s="328"/>
      <c r="G119" s="328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</row>
    <row r="120" ht="12.0" customHeight="1">
      <c r="A120" s="327"/>
      <c r="B120" s="335" t="s">
        <v>1391</v>
      </c>
      <c r="C120" s="337"/>
      <c r="D120" s="337">
        <f t="shared" ref="D120:E120" si="12">D119+(D119*10/100)</f>
        <v>2541</v>
      </c>
      <c r="E120" s="337">
        <f t="shared" si="12"/>
        <v>0</v>
      </c>
      <c r="F120" s="328"/>
      <c r="G120" s="328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</row>
    <row r="121" ht="12.75" customHeight="1">
      <c r="A121" s="346"/>
      <c r="B121" s="335"/>
      <c r="C121" s="335"/>
      <c r="D121" s="337"/>
      <c r="E121" s="337"/>
      <c r="F121" s="359"/>
      <c r="G121" s="359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</row>
    <row r="122" ht="12.75" customHeight="1">
      <c r="A122" s="346"/>
      <c r="B122" s="335"/>
      <c r="C122" s="335"/>
      <c r="D122" s="361" t="s">
        <v>1623</v>
      </c>
      <c r="E122" s="361">
        <v>2016.0</v>
      </c>
      <c r="F122" s="328"/>
      <c r="G122" s="328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</row>
    <row r="123" ht="12.0" customHeight="1">
      <c r="A123" s="329" t="s">
        <v>1494</v>
      </c>
      <c r="B123" s="330" t="s">
        <v>1495</v>
      </c>
      <c r="C123" s="420">
        <v>2018.0</v>
      </c>
      <c r="D123" s="332">
        <f>289705.62+286705.62+289705.62+311897.07+177531.6</f>
        <v>1355545.53</v>
      </c>
      <c r="E123" s="389"/>
      <c r="F123" s="328"/>
      <c r="G123" s="328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</row>
    <row r="124" ht="12.0" customHeight="1">
      <c r="A124" s="327"/>
      <c r="B124" s="335" t="s">
        <v>1391</v>
      </c>
      <c r="C124" s="337"/>
      <c r="D124" s="337">
        <f t="shared" ref="D124:E124" si="13">D123+(D123*10/100)</f>
        <v>1491100.083</v>
      </c>
      <c r="E124" s="337">
        <f t="shared" si="13"/>
        <v>0</v>
      </c>
      <c r="F124" s="328"/>
      <c r="G124" s="328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</row>
    <row r="125" ht="12.0" customHeight="1">
      <c r="A125" s="327"/>
      <c r="B125" s="335"/>
      <c r="C125" s="335"/>
      <c r="D125" s="337"/>
      <c r="E125" s="337"/>
      <c r="F125" s="328"/>
      <c r="G125" s="328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</row>
    <row r="126" ht="12.0" customHeight="1">
      <c r="A126" s="328"/>
      <c r="B126" s="335"/>
      <c r="C126" s="335"/>
      <c r="D126" s="361" t="s">
        <v>1623</v>
      </c>
      <c r="E126" s="337"/>
      <c r="F126" s="328"/>
      <c r="G126" s="328"/>
      <c r="H126" s="327"/>
      <c r="I126" s="327"/>
      <c r="J126" s="327"/>
      <c r="K126" s="327"/>
      <c r="L126" s="327"/>
      <c r="M126" s="327"/>
      <c r="N126" s="327"/>
      <c r="O126" s="327"/>
      <c r="P126" s="327"/>
      <c r="Q126" s="327"/>
      <c r="R126" s="334"/>
      <c r="S126" s="334"/>
      <c r="T126" s="334"/>
      <c r="U126" s="334"/>
      <c r="V126" s="334"/>
      <c r="W126" s="334"/>
      <c r="X126" s="334"/>
      <c r="Y126" s="334"/>
      <c r="Z126" s="334"/>
    </row>
    <row r="127" ht="12.0" customHeight="1">
      <c r="A127" s="329" t="s">
        <v>1600</v>
      </c>
      <c r="B127" s="367" t="s">
        <v>1601</v>
      </c>
      <c r="C127" s="420">
        <v>2018.0</v>
      </c>
      <c r="D127" s="424">
        <f>5589.66+39127.62</f>
        <v>44717.28</v>
      </c>
      <c r="E127" s="374"/>
      <c r="F127" s="328"/>
      <c r="G127" s="328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34"/>
      <c r="S127" s="334"/>
      <c r="T127" s="334"/>
      <c r="U127" s="334"/>
      <c r="V127" s="334"/>
      <c r="W127" s="334"/>
      <c r="X127" s="334"/>
      <c r="Y127" s="334"/>
      <c r="Z127" s="334"/>
    </row>
    <row r="128" ht="12.0" customHeight="1">
      <c r="A128" s="329" t="s">
        <v>1600</v>
      </c>
      <c r="B128" s="367" t="s">
        <v>1603</v>
      </c>
      <c r="C128" s="420">
        <v>2018.0</v>
      </c>
      <c r="D128" s="364">
        <f>2300+2300+2300+2300+2300</f>
        <v>11500</v>
      </c>
      <c r="E128" s="374"/>
      <c r="F128" s="328"/>
      <c r="G128" s="328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  <c r="R128" s="334"/>
      <c r="S128" s="334"/>
      <c r="T128" s="334"/>
      <c r="U128" s="334"/>
      <c r="V128" s="334"/>
      <c r="W128" s="334"/>
      <c r="X128" s="334"/>
      <c r="Y128" s="334"/>
      <c r="Z128" s="334"/>
    </row>
    <row r="129" ht="12.0" customHeight="1">
      <c r="A129" s="329" t="s">
        <v>1600</v>
      </c>
      <c r="B129" s="367" t="s">
        <v>1646</v>
      </c>
      <c r="C129" s="420">
        <v>2018.0</v>
      </c>
      <c r="D129" s="373">
        <f>5589.66+5589.66+155520</f>
        <v>166699.32</v>
      </c>
      <c r="E129" s="328"/>
      <c r="F129" s="328"/>
      <c r="G129" s="328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7"/>
      <c r="X129" s="327"/>
      <c r="Y129" s="327"/>
      <c r="Z129" s="327"/>
    </row>
    <row r="130" ht="12.75" customHeight="1">
      <c r="A130" s="328"/>
      <c r="B130" s="327"/>
      <c r="C130" s="347"/>
      <c r="D130" s="347">
        <f>SUM(D127:D129)</f>
        <v>222916.6</v>
      </c>
      <c r="E130" s="337"/>
      <c r="F130" s="328"/>
      <c r="G130" s="328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27"/>
      <c r="S130" s="327"/>
      <c r="T130" s="327"/>
      <c r="U130" s="327"/>
      <c r="V130" s="327"/>
      <c r="W130" s="327"/>
      <c r="X130" s="327"/>
      <c r="Y130" s="327"/>
      <c r="Z130" s="327"/>
    </row>
    <row r="131" ht="12.0" customHeight="1">
      <c r="A131" s="328"/>
      <c r="B131" s="335" t="s">
        <v>1391</v>
      </c>
      <c r="C131" s="337"/>
      <c r="D131" s="337">
        <f>D130+(D130*10/100)</f>
        <v>245208.26</v>
      </c>
      <c r="E131" s="328"/>
      <c r="F131" s="401"/>
      <c r="G131" s="401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27"/>
      <c r="S131" s="327"/>
      <c r="T131" s="327"/>
      <c r="U131" s="327"/>
      <c r="V131" s="327"/>
      <c r="W131" s="327"/>
      <c r="X131" s="327"/>
      <c r="Y131" s="327"/>
      <c r="Z131" s="327"/>
    </row>
    <row r="132" ht="12.0" customHeight="1">
      <c r="A132" s="328"/>
      <c r="B132" s="327"/>
      <c r="C132" s="327"/>
      <c r="D132" s="328"/>
      <c r="E132" s="328"/>
      <c r="F132" s="359"/>
      <c r="G132" s="359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27"/>
      <c r="S132" s="327"/>
      <c r="T132" s="327"/>
      <c r="U132" s="327"/>
      <c r="V132" s="327"/>
      <c r="W132" s="327"/>
      <c r="X132" s="327"/>
      <c r="Y132" s="327"/>
      <c r="Z132" s="327"/>
    </row>
    <row r="133" ht="12.0" customHeight="1">
      <c r="A133" s="328"/>
      <c r="B133" s="327"/>
      <c r="C133" s="327"/>
      <c r="D133" s="361" t="s">
        <v>1623</v>
      </c>
      <c r="E133" s="361">
        <v>2016.0</v>
      </c>
      <c r="F133" s="359"/>
      <c r="G133" s="359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</row>
    <row r="134" ht="12.0" customHeight="1">
      <c r="A134" s="329" t="s">
        <v>1506</v>
      </c>
      <c r="B134" s="330" t="s">
        <v>1609</v>
      </c>
      <c r="C134" s="420">
        <v>2018.0</v>
      </c>
      <c r="D134" s="332">
        <f>1169.24+1889+3916.24</f>
        <v>6974.48</v>
      </c>
      <c r="E134" s="389"/>
      <c r="F134" s="359"/>
      <c r="G134" s="359"/>
      <c r="H134" s="327"/>
      <c r="I134" s="327"/>
      <c r="J134" s="327"/>
      <c r="K134" s="327"/>
      <c r="L134" s="327"/>
      <c r="M134" s="327"/>
      <c r="N134" s="327"/>
      <c r="O134" s="327"/>
      <c r="P134" s="327"/>
      <c r="Q134" s="327"/>
      <c r="R134" s="327"/>
      <c r="S134" s="327"/>
      <c r="T134" s="327"/>
      <c r="U134" s="327"/>
      <c r="V134" s="327"/>
      <c r="W134" s="327"/>
      <c r="X134" s="327"/>
      <c r="Y134" s="327"/>
      <c r="Z134" s="327"/>
    </row>
    <row r="135" ht="12.0" customHeight="1">
      <c r="A135" s="329" t="s">
        <v>1506</v>
      </c>
      <c r="B135" s="330" t="s">
        <v>1610</v>
      </c>
      <c r="C135" s="420">
        <v>2018.0</v>
      </c>
      <c r="D135" s="425">
        <f>2111.03+2111.03+2111.03</f>
        <v>6333.09</v>
      </c>
      <c r="E135" s="332">
        <f>2111.03+2111.03</f>
        <v>4222.06</v>
      </c>
      <c r="F135" s="359"/>
      <c r="G135" s="359"/>
      <c r="H135" s="327"/>
      <c r="I135" s="327"/>
      <c r="J135" s="327"/>
      <c r="K135" s="327"/>
      <c r="L135" s="327"/>
      <c r="M135" s="327"/>
      <c r="N135" s="327"/>
      <c r="O135" s="327"/>
      <c r="P135" s="327"/>
      <c r="Q135" s="327"/>
      <c r="R135" s="327"/>
      <c r="S135" s="327"/>
      <c r="T135" s="327"/>
      <c r="U135" s="327"/>
      <c r="V135" s="327"/>
      <c r="W135" s="327"/>
      <c r="X135" s="327"/>
      <c r="Y135" s="327"/>
      <c r="Z135" s="327"/>
    </row>
    <row r="136" ht="12.0" customHeight="1">
      <c r="A136" s="329" t="s">
        <v>1506</v>
      </c>
      <c r="B136" s="330" t="s">
        <v>1647</v>
      </c>
      <c r="C136" s="420">
        <v>2018.0</v>
      </c>
      <c r="D136" s="405"/>
      <c r="E136" s="332">
        <f>3700</f>
        <v>3700</v>
      </c>
      <c r="F136" s="359"/>
      <c r="G136" s="359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</row>
    <row r="137" ht="12.0" customHeight="1">
      <c r="A137" s="328"/>
      <c r="B137" s="327"/>
      <c r="C137" s="328"/>
      <c r="D137" s="328">
        <f t="shared" ref="D137:E137" si="14">SUM(D134:D136)</f>
        <v>13307.57</v>
      </c>
      <c r="E137" s="328">
        <f t="shared" si="14"/>
        <v>7922.06</v>
      </c>
      <c r="F137" s="359"/>
      <c r="G137" s="359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</row>
    <row r="138" ht="12.0" customHeight="1">
      <c r="A138" s="328"/>
      <c r="B138" s="335" t="s">
        <v>1391</v>
      </c>
      <c r="C138" s="337"/>
      <c r="D138" s="337">
        <f t="shared" ref="D138:E138" si="15">D137+(D137*10/100)</f>
        <v>14638.327</v>
      </c>
      <c r="E138" s="337">
        <f t="shared" si="15"/>
        <v>8714.266</v>
      </c>
      <c r="F138" s="359"/>
      <c r="G138" s="359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7"/>
    </row>
    <row r="139" ht="12.0" customHeight="1">
      <c r="A139" s="328"/>
      <c r="B139" s="335"/>
      <c r="C139" s="335"/>
      <c r="D139" s="361" t="s">
        <v>1623</v>
      </c>
      <c r="E139" s="361">
        <v>2016.0</v>
      </c>
      <c r="F139" s="361" t="s">
        <v>1614</v>
      </c>
      <c r="G139" s="359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  <c r="Y139" s="327"/>
      <c r="Z139" s="327"/>
    </row>
    <row r="140" ht="12.0" customHeight="1">
      <c r="A140" s="382" t="s">
        <v>4</v>
      </c>
      <c r="B140" s="383" t="s">
        <v>1516</v>
      </c>
      <c r="C140" s="420">
        <v>2018.0</v>
      </c>
      <c r="D140" s="384" t="s">
        <v>1517</v>
      </c>
      <c r="E140" s="389"/>
      <c r="F140" s="389"/>
      <c r="G140" s="359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</row>
    <row r="141" ht="12.0" customHeight="1">
      <c r="A141" s="329" t="s">
        <v>1521</v>
      </c>
      <c r="B141" s="330" t="s">
        <v>1522</v>
      </c>
      <c r="C141" s="420">
        <v>2018.0</v>
      </c>
      <c r="D141" s="332"/>
      <c r="E141" s="389"/>
      <c r="F141" s="389"/>
      <c r="G141" s="359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</row>
    <row r="142" ht="12.0" customHeight="1">
      <c r="A142" s="329" t="s">
        <v>1521</v>
      </c>
      <c r="B142" s="330" t="s">
        <v>900</v>
      </c>
      <c r="C142" s="420">
        <v>2018.0</v>
      </c>
      <c r="D142" s="332">
        <f>7062</f>
        <v>7062</v>
      </c>
      <c r="E142" s="389">
        <f>2354</f>
        <v>2354</v>
      </c>
      <c r="F142" s="389"/>
      <c r="G142" s="359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</row>
    <row r="143" ht="12.0" customHeight="1">
      <c r="A143" s="329" t="s">
        <v>1521</v>
      </c>
      <c r="B143" s="330" t="s">
        <v>1523</v>
      </c>
      <c r="C143" s="420">
        <v>2018.0</v>
      </c>
      <c r="D143" s="332">
        <f>15314.16+15314.16+15314.16+15575.16+15705.67</f>
        <v>77223.31</v>
      </c>
      <c r="E143" s="389"/>
      <c r="F143" s="389"/>
      <c r="G143" s="359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</row>
    <row r="144" ht="12.0" customHeight="1">
      <c r="A144" s="329" t="s">
        <v>1521</v>
      </c>
      <c r="B144" s="330" t="s">
        <v>1526</v>
      </c>
      <c r="C144" s="420">
        <v>2018.0</v>
      </c>
      <c r="D144" s="332">
        <f>6027</f>
        <v>6027</v>
      </c>
      <c r="E144" s="389"/>
      <c r="F144" s="389"/>
      <c r="G144" s="359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</row>
    <row r="145" ht="12.0" customHeight="1">
      <c r="A145" s="329" t="s">
        <v>1521</v>
      </c>
      <c r="B145" s="330" t="s">
        <v>1529</v>
      </c>
      <c r="C145" s="420">
        <v>2018.0</v>
      </c>
      <c r="D145" s="332"/>
      <c r="E145" s="389"/>
      <c r="F145" s="389"/>
      <c r="G145" s="359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</row>
    <row r="146" ht="12.0" customHeight="1">
      <c r="A146" s="329" t="s">
        <v>1521</v>
      </c>
      <c r="B146" s="386" t="s">
        <v>1530</v>
      </c>
      <c r="C146" s="420">
        <v>2018.0</v>
      </c>
      <c r="D146" s="426">
        <f>7810</f>
        <v>7810</v>
      </c>
      <c r="E146" s="389"/>
      <c r="F146" s="389"/>
      <c r="G146" s="359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</row>
    <row r="147" ht="12.0" customHeight="1">
      <c r="A147" s="329" t="s">
        <v>1521</v>
      </c>
      <c r="B147" s="330" t="s">
        <v>928</v>
      </c>
      <c r="C147" s="420">
        <v>2018.0</v>
      </c>
      <c r="D147" s="332">
        <f>1313.33+1313.33+1313.33+1313.33+1313.33</f>
        <v>6566.65</v>
      </c>
      <c r="E147" s="389"/>
      <c r="F147" s="389"/>
      <c r="G147" s="359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</row>
    <row r="148" ht="12.0" customHeight="1">
      <c r="A148" s="329" t="s">
        <v>1521</v>
      </c>
      <c r="B148" s="330" t="s">
        <v>934</v>
      </c>
      <c r="C148" s="420">
        <v>2018.0</v>
      </c>
      <c r="D148" s="332">
        <f>21800</f>
        <v>21800</v>
      </c>
      <c r="E148" s="389"/>
      <c r="F148" s="389"/>
      <c r="G148" s="359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</row>
    <row r="149" ht="12.0" customHeight="1">
      <c r="A149" s="329" t="s">
        <v>1521</v>
      </c>
      <c r="B149" s="330" t="s">
        <v>1619</v>
      </c>
      <c r="C149" s="420">
        <v>2018.0</v>
      </c>
      <c r="D149" s="332">
        <f>19199.84+8848.09+54977.27+18927+32931.47</f>
        <v>134883.67</v>
      </c>
      <c r="E149" s="389"/>
      <c r="F149" s="389"/>
      <c r="G149" s="359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</row>
    <row r="150" ht="12.0" customHeight="1">
      <c r="A150" s="329" t="s">
        <v>1521</v>
      </c>
      <c r="B150" s="330" t="s">
        <v>1621</v>
      </c>
      <c r="C150" s="420">
        <v>2018.0</v>
      </c>
      <c r="D150" s="332">
        <f>2707.91+2707.91+2707.91</f>
        <v>8123.73</v>
      </c>
      <c r="E150" s="389"/>
      <c r="F150" s="332"/>
      <c r="G150" s="359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</row>
    <row r="151" ht="12.0" customHeight="1">
      <c r="A151" s="327"/>
      <c r="B151" s="327"/>
      <c r="C151" s="328"/>
      <c r="D151" s="328">
        <f t="shared" ref="D151:F151" si="16">SUM(D140:D150)</f>
        <v>269496.36</v>
      </c>
      <c r="E151" s="328">
        <f t="shared" si="16"/>
        <v>2354</v>
      </c>
      <c r="F151" s="328">
        <f t="shared" si="16"/>
        <v>0</v>
      </c>
      <c r="G151" s="359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</row>
    <row r="152" ht="12.0" customHeight="1">
      <c r="A152" s="327"/>
      <c r="B152" s="335" t="s">
        <v>1391</v>
      </c>
      <c r="C152" s="337"/>
      <c r="D152" s="337">
        <f t="shared" ref="D152:F152" si="17">D151+(D151*10/100)</f>
        <v>296445.996</v>
      </c>
      <c r="E152" s="337">
        <f t="shared" si="17"/>
        <v>2589.4</v>
      </c>
      <c r="F152" s="337">
        <f t="shared" si="17"/>
        <v>0</v>
      </c>
      <c r="G152" s="359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</row>
    <row r="153" ht="12.0" customHeight="1">
      <c r="A153" s="327"/>
      <c r="B153" s="335"/>
      <c r="C153" s="335"/>
      <c r="D153" s="337"/>
      <c r="E153" s="337"/>
      <c r="F153" s="359"/>
      <c r="G153" s="359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</row>
    <row r="154" ht="12.0" customHeight="1">
      <c r="A154" s="328"/>
      <c r="B154" s="327"/>
      <c r="C154" s="327"/>
      <c r="D154" s="361" t="s">
        <v>1623</v>
      </c>
      <c r="E154" s="361">
        <v>2016.0</v>
      </c>
      <c r="F154" s="361">
        <v>2015.0</v>
      </c>
      <c r="G154" s="361">
        <v>2014.0</v>
      </c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34"/>
      <c r="S154" s="334"/>
      <c r="T154" s="334"/>
      <c r="U154" s="334"/>
      <c r="V154" s="334"/>
      <c r="W154" s="334"/>
      <c r="X154" s="334"/>
      <c r="Y154" s="334"/>
      <c r="Z154" s="334"/>
    </row>
    <row r="155" ht="12.0" customHeight="1">
      <c r="A155" s="329" t="s">
        <v>1537</v>
      </c>
      <c r="B155" s="388" t="s">
        <v>1538</v>
      </c>
      <c r="C155" s="420">
        <v>2018.0</v>
      </c>
      <c r="D155" s="389">
        <f>28098+38388+88859.77+44100+44226+37212+39480</f>
        <v>320363.77</v>
      </c>
      <c r="E155" s="389"/>
      <c r="F155" s="389"/>
      <c r="G155" s="389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</row>
    <row r="156" ht="12.0" customHeight="1">
      <c r="A156" s="329" t="s">
        <v>1537</v>
      </c>
      <c r="B156" s="388" t="s">
        <v>1541</v>
      </c>
      <c r="C156" s="420">
        <v>2018.0</v>
      </c>
      <c r="D156" s="389">
        <f>18387.6+18379.2+17686.2+18211.2</f>
        <v>72664.2</v>
      </c>
      <c r="E156" s="389"/>
      <c r="F156" s="389">
        <f>17644.2+18937.8</f>
        <v>36582</v>
      </c>
      <c r="G156" s="389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27"/>
      <c r="S156" s="327"/>
      <c r="T156" s="327"/>
      <c r="U156" s="327"/>
      <c r="V156" s="327"/>
      <c r="W156" s="327"/>
      <c r="X156" s="327"/>
      <c r="Y156" s="327"/>
      <c r="Z156" s="327"/>
    </row>
    <row r="157" ht="12.0" customHeight="1">
      <c r="A157" s="329" t="s">
        <v>1537</v>
      </c>
      <c r="B157" s="388" t="s">
        <v>1542</v>
      </c>
      <c r="C157" s="420">
        <v>2018.0</v>
      </c>
      <c r="D157" s="389">
        <f>714</f>
        <v>714</v>
      </c>
      <c r="E157" s="389"/>
      <c r="F157" s="389"/>
      <c r="G157" s="389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</row>
    <row r="158" ht="12.0" customHeight="1">
      <c r="A158" s="329" t="s">
        <v>1537</v>
      </c>
      <c r="B158" s="394" t="s">
        <v>1543</v>
      </c>
      <c r="C158" s="420">
        <v>2018.0</v>
      </c>
      <c r="D158" s="389"/>
      <c r="E158" s="389"/>
      <c r="F158" s="389"/>
      <c r="G158" s="389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27"/>
      <c r="S158" s="327"/>
      <c r="T158" s="327"/>
      <c r="U158" s="327"/>
      <c r="V158" s="327"/>
      <c r="W158" s="327"/>
      <c r="X158" s="327"/>
      <c r="Y158" s="327"/>
      <c r="Z158" s="327"/>
    </row>
    <row r="159" ht="12.0" customHeight="1">
      <c r="A159" s="329" t="s">
        <v>1537</v>
      </c>
      <c r="B159" s="394" t="s">
        <v>1547</v>
      </c>
      <c r="C159" s="420">
        <v>2018.0</v>
      </c>
      <c r="D159" s="389"/>
      <c r="E159" s="389"/>
      <c r="F159" s="389"/>
      <c r="G159" s="389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</row>
    <row r="160" ht="12.0" customHeight="1">
      <c r="A160" s="329" t="s">
        <v>1537</v>
      </c>
      <c r="B160" s="394" t="s">
        <v>1548</v>
      </c>
      <c r="C160" s="420">
        <v>2018.0</v>
      </c>
      <c r="D160" s="389">
        <v>420.0</v>
      </c>
      <c r="E160" s="389"/>
      <c r="F160" s="389"/>
      <c r="G160" s="389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</row>
    <row r="161" ht="12.0" customHeight="1">
      <c r="A161" s="329" t="s">
        <v>1537</v>
      </c>
      <c r="B161" s="394" t="s">
        <v>1551</v>
      </c>
      <c r="C161" s="420">
        <v>2018.0</v>
      </c>
      <c r="D161" s="389"/>
      <c r="E161" s="389"/>
      <c r="F161" s="389"/>
      <c r="G161" s="389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</row>
    <row r="162" ht="12.0" customHeight="1">
      <c r="A162" s="329" t="s">
        <v>1537</v>
      </c>
      <c r="B162" s="394" t="s">
        <v>1554</v>
      </c>
      <c r="C162" s="420">
        <v>2018.0</v>
      </c>
      <c r="D162" s="389">
        <f>53863+35409.89+41988.45</f>
        <v>131261.34</v>
      </c>
      <c r="E162" s="389">
        <f>34156.54+30574.62</f>
        <v>64731.16</v>
      </c>
      <c r="F162" s="389"/>
      <c r="G162" s="389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27"/>
      <c r="S162" s="327"/>
      <c r="T162" s="327"/>
      <c r="U162" s="327"/>
      <c r="V162" s="327"/>
      <c r="W162" s="327"/>
      <c r="X162" s="327"/>
      <c r="Y162" s="327"/>
      <c r="Z162" s="327"/>
    </row>
    <row r="163" ht="12.0" customHeight="1">
      <c r="A163" s="329" t="s">
        <v>1537</v>
      </c>
      <c r="B163" s="394" t="s">
        <v>1555</v>
      </c>
      <c r="C163" s="420">
        <v>2018.0</v>
      </c>
      <c r="D163" s="389">
        <f>4532+2535+11030.44+14390.27+9124.51+8042.91+2820+10847.43+21345.95</f>
        <v>84668.51</v>
      </c>
      <c r="E163" s="389"/>
      <c r="F163" s="389"/>
      <c r="G163" s="389">
        <f>11505.43+11808.47</f>
        <v>23313.9</v>
      </c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</row>
    <row r="164" ht="12.0" customHeight="1">
      <c r="A164" s="329" t="s">
        <v>1537</v>
      </c>
      <c r="B164" s="394" t="s">
        <v>1557</v>
      </c>
      <c r="C164" s="420">
        <v>2018.0</v>
      </c>
      <c r="D164" s="389">
        <f>1037+7413+8358+4305+2196+4349</f>
        <v>27658</v>
      </c>
      <c r="E164" s="389"/>
      <c r="F164" s="389"/>
      <c r="G164" s="389">
        <f>14377+5645+8662</f>
        <v>28684</v>
      </c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</row>
    <row r="165" ht="12.0" customHeight="1">
      <c r="A165" s="329" t="s">
        <v>1537</v>
      </c>
      <c r="B165" s="394" t="s">
        <v>1558</v>
      </c>
      <c r="C165" s="420">
        <v>2018.0</v>
      </c>
      <c r="D165" s="389">
        <f>248+224+1416+2064+1168+2992</f>
        <v>8112</v>
      </c>
      <c r="E165" s="389"/>
      <c r="F165" s="389"/>
      <c r="G165" s="389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</row>
    <row r="166" ht="12.0" customHeight="1">
      <c r="A166" s="329" t="s">
        <v>1537</v>
      </c>
      <c r="B166" s="394" t="s">
        <v>1559</v>
      </c>
      <c r="C166" s="420">
        <v>2018.0</v>
      </c>
      <c r="D166" s="389">
        <f>348+2187+9386+7624+9424+8482+7304</f>
        <v>44755</v>
      </c>
      <c r="E166" s="389"/>
      <c r="F166" s="389"/>
      <c r="G166" s="389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</row>
    <row r="167" ht="12.0" customHeight="1">
      <c r="A167" s="329" t="s">
        <v>1537</v>
      </c>
      <c r="B167" s="394" t="s">
        <v>1560</v>
      </c>
      <c r="C167" s="420">
        <v>2018.0</v>
      </c>
      <c r="D167" s="389"/>
      <c r="E167" s="389"/>
      <c r="F167" s="389"/>
      <c r="G167" s="389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</row>
    <row r="168" ht="12.0" customHeight="1">
      <c r="A168" s="329" t="s">
        <v>1537</v>
      </c>
      <c r="B168" s="388" t="s">
        <v>1467</v>
      </c>
      <c r="C168" s="420">
        <v>2018.0</v>
      </c>
      <c r="D168" s="389">
        <f>136601.98+55428.94+483156.03+342744.6+60250.76+59404.36+398787.79+19115.88+59019.94+41767.56+3490+40533.8+17330+19115.88+160260.46+46944.47</f>
        <v>1943952.45</v>
      </c>
      <c r="E168" s="389"/>
      <c r="F168" s="389"/>
      <c r="G168" s="389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</row>
    <row r="169" ht="12.0" customHeight="1">
      <c r="A169" s="329" t="s">
        <v>1537</v>
      </c>
      <c r="B169" s="388" t="s">
        <v>1561</v>
      </c>
      <c r="C169" s="420">
        <v>2018.0</v>
      </c>
      <c r="D169" s="389">
        <f>82721.06+60638.39+90246.79+76807.8+88417.26+66175.37</f>
        <v>465006.67</v>
      </c>
      <c r="E169" s="389"/>
      <c r="F169" s="389"/>
      <c r="G169" s="389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</row>
    <row r="170" ht="12.0" customHeight="1">
      <c r="A170" s="329" t="s">
        <v>1537</v>
      </c>
      <c r="B170" s="388" t="s">
        <v>1562</v>
      </c>
      <c r="C170" s="420">
        <v>2018.0</v>
      </c>
      <c r="D170" s="389">
        <f>48824.61+82327.66+87328.54+69545.78+2007.17+10637.76+2007.17+15740.42</f>
        <v>318419.11</v>
      </c>
      <c r="E170" s="389"/>
      <c r="F170" s="389"/>
      <c r="G170" s="389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</row>
    <row r="171" ht="12.0" customHeight="1">
      <c r="A171" s="329" t="s">
        <v>1537</v>
      </c>
      <c r="B171" s="388" t="s">
        <v>1563</v>
      </c>
      <c r="C171" s="420">
        <v>2018.0</v>
      </c>
      <c r="D171" s="389">
        <f>652.02+2008.52+244+166+814.01</f>
        <v>3884.55</v>
      </c>
      <c r="E171" s="389"/>
      <c r="F171" s="389"/>
      <c r="G171" s="389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</row>
    <row r="172" ht="12.0" customHeight="1">
      <c r="A172" s="329" t="s">
        <v>1537</v>
      </c>
      <c r="B172" s="388" t="s">
        <v>1564</v>
      </c>
      <c r="C172" s="420">
        <v>2018.0</v>
      </c>
      <c r="D172" s="389">
        <f>9928.26+8934.12+6067.27+1763.71</f>
        <v>26693.36</v>
      </c>
      <c r="E172" s="389"/>
      <c r="F172" s="389"/>
      <c r="G172" s="389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</row>
    <row r="173" ht="12.0" customHeight="1">
      <c r="A173" s="329" t="s">
        <v>1537</v>
      </c>
      <c r="B173" s="388" t="s">
        <v>1565</v>
      </c>
      <c r="C173" s="420">
        <v>2018.0</v>
      </c>
      <c r="D173" s="389">
        <f>27291.49+78810.07+67116.45+64415.37+51328.14</f>
        <v>288961.52</v>
      </c>
      <c r="E173" s="389"/>
      <c r="F173" s="389"/>
      <c r="G173" s="389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</row>
    <row r="174" ht="12.0" customHeight="1">
      <c r="A174" s="419" t="s">
        <v>1537</v>
      </c>
      <c r="B174" s="394" t="s">
        <v>1567</v>
      </c>
      <c r="C174" s="420">
        <v>2018.0</v>
      </c>
      <c r="D174" s="389">
        <f>3334.62+5524.74+4662.32</f>
        <v>13521.68</v>
      </c>
      <c r="E174" s="389"/>
      <c r="F174" s="389">
        <f>5834.96+4918.73+6749.5</f>
        <v>17503.19</v>
      </c>
      <c r="G174" s="389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</row>
    <row r="175" ht="12.0" customHeight="1">
      <c r="A175" s="329" t="s">
        <v>1537</v>
      </c>
      <c r="B175" s="394" t="s">
        <v>1568</v>
      </c>
      <c r="C175" s="420">
        <v>2018.0</v>
      </c>
      <c r="D175" s="389">
        <f>3097.91+3945.17+843.24+1690.5</f>
        <v>9576.82</v>
      </c>
      <c r="E175" s="389"/>
      <c r="F175" s="389">
        <f>1973.59+1150.42</f>
        <v>3124.01</v>
      </c>
      <c r="G175" s="389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</row>
    <row r="176" ht="12.0" customHeight="1">
      <c r="A176" s="329" t="s">
        <v>1537</v>
      </c>
      <c r="B176" s="394" t="s">
        <v>1570</v>
      </c>
      <c r="C176" s="420">
        <v>2018.0</v>
      </c>
      <c r="D176" s="389">
        <f>11275.69+5891.48+21436.76+3620.11+9431.75+3311.89+6940.36</f>
        <v>61908.04</v>
      </c>
      <c r="E176" s="389">
        <f>4475.4</f>
        <v>4475.4</v>
      </c>
      <c r="F176" s="389">
        <f>2923.92+1743.51+562.85+12047.86</f>
        <v>17278.14</v>
      </c>
      <c r="G176" s="389">
        <f>5648.03</f>
        <v>5648.03</v>
      </c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</row>
    <row r="177" ht="12.0" customHeight="1">
      <c r="A177" s="329" t="s">
        <v>1537</v>
      </c>
      <c r="B177" s="394" t="s">
        <v>1575</v>
      </c>
      <c r="C177" s="420">
        <v>2018.0</v>
      </c>
      <c r="D177" s="389">
        <f>14437.8+5282.15+64196.95+54959.95+73516.88+96980.85+69599.74+76716.52+54187.34+50363.17</f>
        <v>560241.35</v>
      </c>
      <c r="E177" s="389"/>
      <c r="F177" s="389"/>
      <c r="G177" s="389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</row>
    <row r="178" ht="12.0" customHeight="1">
      <c r="A178" s="329" t="s">
        <v>1537</v>
      </c>
      <c r="B178" s="394" t="s">
        <v>1579</v>
      </c>
      <c r="C178" s="420">
        <v>2018.0</v>
      </c>
      <c r="D178" s="389">
        <f>5915.64+17579.41+17964.96+15343.59+12360.8</f>
        <v>69164.4</v>
      </c>
      <c r="E178" s="389"/>
      <c r="F178" s="389"/>
      <c r="G178" s="389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</row>
    <row r="179" ht="12.0" customHeight="1">
      <c r="A179" s="329" t="s">
        <v>1537</v>
      </c>
      <c r="B179" s="394" t="s">
        <v>1583</v>
      </c>
      <c r="C179" s="420">
        <v>2018.0</v>
      </c>
      <c r="D179" s="389">
        <f>76800+76800+79200+80400+76800+78000</f>
        <v>468000</v>
      </c>
      <c r="E179" s="389"/>
      <c r="F179" s="389"/>
      <c r="G179" s="389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</row>
    <row r="180" ht="12.0" customHeight="1">
      <c r="A180" s="329" t="s">
        <v>1537</v>
      </c>
      <c r="B180" s="394" t="s">
        <v>1584</v>
      </c>
      <c r="C180" s="420">
        <v>2018.0</v>
      </c>
      <c r="D180" s="389">
        <f>79025.13+81022.92+76527.36+78462+79078.27+81077.4+79078.27+81077.4+76527.36+78462+79078.27+81077.4</f>
        <v>950493.78</v>
      </c>
      <c r="E180" s="389"/>
      <c r="F180" s="389"/>
      <c r="G180" s="389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</row>
    <row r="181" ht="12.0" customHeight="1">
      <c r="A181" s="329" t="s">
        <v>1537</v>
      </c>
      <c r="B181" s="394" t="s">
        <v>1593</v>
      </c>
      <c r="C181" s="420">
        <v>2018.0</v>
      </c>
      <c r="D181" s="389">
        <f>81378.72+78753.6+81378.72+81378.72+73753.6+81378.72</f>
        <v>478022.08</v>
      </c>
      <c r="E181" s="389"/>
      <c r="F181" s="396"/>
      <c r="G181" s="396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</row>
    <row r="182" ht="12.0" customHeight="1">
      <c r="A182" s="329" t="s">
        <v>1537</v>
      </c>
      <c r="B182" s="394" t="s">
        <v>1594</v>
      </c>
      <c r="C182" s="420">
        <v>2018.0</v>
      </c>
      <c r="D182" s="389">
        <f>54405.7+28533.75+49487.65+68462.25+11868.05+138368.8+138368.8</f>
        <v>489495</v>
      </c>
      <c r="E182" s="389"/>
      <c r="F182" s="396">
        <f>37728.09+4330.17+62080.81</f>
        <v>104139.07</v>
      </c>
      <c r="G182" s="396">
        <f>33421.75+396.71+28136.48+47155.85+799.87</f>
        <v>109910.66</v>
      </c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</row>
    <row r="183" ht="12.0" customHeight="1">
      <c r="A183" s="329" t="s">
        <v>1537</v>
      </c>
      <c r="B183" s="388" t="s">
        <v>1597</v>
      </c>
      <c r="C183" s="420">
        <v>2018.0</v>
      </c>
      <c r="D183" s="389">
        <f>96883.02+60614.69+88069.81+203622.52+328177.38+83853.07+72813.8+91411.95+20967.94+52790.45</f>
        <v>1099204.63</v>
      </c>
      <c r="E183" s="389">
        <f>128388.8</f>
        <v>128388.8</v>
      </c>
      <c r="F183" s="396"/>
      <c r="G183" s="396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</row>
    <row r="184" ht="12.0" customHeight="1">
      <c r="A184" s="329" t="s">
        <v>1537</v>
      </c>
      <c r="B184" s="388" t="s">
        <v>1602</v>
      </c>
      <c r="C184" s="420">
        <v>2018.0</v>
      </c>
      <c r="D184" s="389">
        <f>87263.02+107814.8+103959.48+129576.8+114246.52+53208.19+78775.47</f>
        <v>674844.28</v>
      </c>
      <c r="E184" s="389"/>
      <c r="F184" s="389"/>
      <c r="G184" s="389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34"/>
      <c r="W184" s="334"/>
      <c r="X184" s="334"/>
      <c r="Y184" s="334"/>
      <c r="Z184" s="334"/>
    </row>
    <row r="185" ht="12.0" customHeight="1">
      <c r="A185" s="329" t="s">
        <v>1537</v>
      </c>
      <c r="B185" s="388" t="s">
        <v>705</v>
      </c>
      <c r="C185" s="420">
        <v>2018.0</v>
      </c>
      <c r="D185" s="389">
        <f>34023.54+41021+54211.21+60828.62+63517.76</f>
        <v>253602.13</v>
      </c>
      <c r="E185" s="389">
        <f>34112.24</f>
        <v>34112.24</v>
      </c>
      <c r="F185" s="389"/>
      <c r="G185" s="389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</row>
    <row r="186" ht="12.0" customHeight="1">
      <c r="A186" s="329" t="s">
        <v>1537</v>
      </c>
      <c r="B186" s="388" t="s">
        <v>707</v>
      </c>
      <c r="C186" s="420">
        <v>2018.0</v>
      </c>
      <c r="D186" s="389">
        <f>5670+5670+6426+7014+5670+7434</f>
        <v>37884</v>
      </c>
      <c r="E186" s="389"/>
      <c r="F186" s="389"/>
      <c r="G186" s="389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34"/>
      <c r="W186" s="334"/>
      <c r="X186" s="334"/>
      <c r="Y186" s="334"/>
      <c r="Z186" s="334"/>
    </row>
    <row r="187" ht="12.0" customHeight="1">
      <c r="A187" s="329" t="s">
        <v>1537</v>
      </c>
      <c r="B187" s="388" t="s">
        <v>1604</v>
      </c>
      <c r="C187" s="420">
        <v>2018.0</v>
      </c>
      <c r="D187" s="389">
        <f>18687.25+18114.75+15485.25+421.5+16797.9+2411.5+7371.5+12959.4</f>
        <v>92249.05</v>
      </c>
      <c r="E187" s="389"/>
      <c r="F187" s="389"/>
      <c r="G187" s="389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</row>
    <row r="188" ht="12.0" customHeight="1">
      <c r="A188" s="329" t="s">
        <v>1537</v>
      </c>
      <c r="B188" s="388" t="s">
        <v>1648</v>
      </c>
      <c r="C188" s="420">
        <v>2018.0</v>
      </c>
      <c r="D188" s="389"/>
      <c r="E188" s="389"/>
      <c r="F188" s="389"/>
      <c r="G188" s="389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</row>
    <row r="189" ht="12.75" customHeight="1">
      <c r="A189" s="329" t="s">
        <v>1537</v>
      </c>
      <c r="B189" s="394" t="s">
        <v>1606</v>
      </c>
      <c r="C189" s="420">
        <v>2018.0</v>
      </c>
      <c r="D189" s="389">
        <f>80134.02+237887.78+145465.94+322423.99</f>
        <v>785911.73</v>
      </c>
      <c r="E189" s="9"/>
      <c r="F189" s="389"/>
      <c r="G189" s="389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34"/>
      <c r="W189" s="334"/>
      <c r="X189" s="334"/>
      <c r="Y189" s="334"/>
      <c r="Z189" s="334"/>
    </row>
    <row r="190" ht="12.0" customHeight="1">
      <c r="A190" s="329" t="s">
        <v>1537</v>
      </c>
      <c r="B190" s="394" t="s">
        <v>950</v>
      </c>
      <c r="C190" s="420">
        <v>2018.0</v>
      </c>
      <c r="D190" s="389">
        <f>10622.52+1052+1677.24+16772.4+10622.52+2795.4</f>
        <v>43542.08</v>
      </c>
      <c r="E190" s="389"/>
      <c r="F190" s="389"/>
      <c r="G190" s="389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</row>
    <row r="191" ht="12.0" customHeight="1">
      <c r="A191" s="329" t="s">
        <v>1537</v>
      </c>
      <c r="B191" s="394" t="s">
        <v>1607</v>
      </c>
      <c r="C191" s="420">
        <v>2018.0</v>
      </c>
      <c r="D191" s="389">
        <f>7506.6+7683.2+7426.9+8458.2+10288.41</f>
        <v>41363.31</v>
      </c>
      <c r="E191" s="389"/>
      <c r="F191" s="389"/>
      <c r="G191" s="389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T191" s="334"/>
      <c r="U191" s="334"/>
      <c r="V191" s="334"/>
      <c r="W191" s="334"/>
      <c r="X191" s="334"/>
      <c r="Y191" s="334"/>
      <c r="Z191" s="334"/>
    </row>
    <row r="192" ht="12.0" customHeight="1">
      <c r="A192" s="329" t="s">
        <v>1537</v>
      </c>
      <c r="B192" s="394" t="s">
        <v>1608</v>
      </c>
      <c r="C192" s="420">
        <v>2018.0</v>
      </c>
      <c r="D192" s="389">
        <f>31830.1+30779.94+39641.44+18712.4+55426.13+26671.22</f>
        <v>203061.23</v>
      </c>
      <c r="E192" s="389"/>
      <c r="F192" s="389"/>
      <c r="G192" s="389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34"/>
      <c r="W192" s="334"/>
      <c r="X192" s="334"/>
      <c r="Y192" s="334"/>
      <c r="Z192" s="334"/>
    </row>
    <row r="193" ht="12.0" customHeight="1">
      <c r="A193" s="327"/>
      <c r="B193" s="327"/>
      <c r="C193" s="328"/>
      <c r="D193" s="328">
        <f t="shared" ref="D193:G193" si="18">SUM(D155:D192)</f>
        <v>10069620.07</v>
      </c>
      <c r="E193" s="328">
        <f t="shared" si="18"/>
        <v>231707.6</v>
      </c>
      <c r="F193" s="328">
        <f t="shared" si="18"/>
        <v>178626.41</v>
      </c>
      <c r="G193" s="328">
        <f t="shared" si="18"/>
        <v>167556.59</v>
      </c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</row>
    <row r="194" ht="12.0" customHeight="1">
      <c r="A194" s="327"/>
      <c r="B194" s="335" t="s">
        <v>1391</v>
      </c>
      <c r="C194" s="337"/>
      <c r="D194" s="337">
        <f t="shared" ref="D194:G194" si="19">D193+(D193*10/100)</f>
        <v>11076582.08</v>
      </c>
      <c r="E194" s="337">
        <f t="shared" si="19"/>
        <v>254878.36</v>
      </c>
      <c r="F194" s="337">
        <f t="shared" si="19"/>
        <v>196489.051</v>
      </c>
      <c r="G194" s="337">
        <f t="shared" si="19"/>
        <v>184312.249</v>
      </c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</row>
    <row r="195" ht="12.0" customHeight="1">
      <c r="A195" s="327"/>
      <c r="B195" s="327"/>
      <c r="C195" s="327"/>
      <c r="D195" s="328"/>
      <c r="E195" s="328"/>
      <c r="F195" s="359"/>
      <c r="G195" s="359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</row>
    <row r="196" ht="12.0" customHeight="1">
      <c r="A196" s="327"/>
      <c r="B196" s="327"/>
      <c r="C196" s="327"/>
      <c r="D196" s="361" t="s">
        <v>1623</v>
      </c>
      <c r="E196" s="328"/>
      <c r="F196" s="359"/>
      <c r="G196" s="359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</row>
    <row r="197" ht="12.0" customHeight="1">
      <c r="A197" s="329" t="s">
        <v>1611</v>
      </c>
      <c r="B197" s="330" t="s">
        <v>1612</v>
      </c>
      <c r="C197" s="420">
        <v>2018.0</v>
      </c>
      <c r="D197" s="332">
        <f>148+148+148+148</f>
        <v>592</v>
      </c>
      <c r="E197" s="332"/>
      <c r="F197" s="359"/>
      <c r="G197" s="359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</row>
    <row r="198" ht="12.0" customHeight="1">
      <c r="A198" s="327"/>
      <c r="B198" s="335" t="s">
        <v>1391</v>
      </c>
      <c r="C198" s="337"/>
      <c r="D198" s="337">
        <f t="shared" ref="D198:E198" si="20">D197+(D197*10/100)</f>
        <v>651.2</v>
      </c>
      <c r="E198" s="337">
        <f t="shared" si="20"/>
        <v>0</v>
      </c>
      <c r="F198" s="328"/>
      <c r="G198" s="328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</row>
    <row r="199" ht="12.0" customHeight="1">
      <c r="A199" s="327"/>
      <c r="B199" s="335"/>
      <c r="C199" s="335"/>
      <c r="D199" s="337"/>
      <c r="E199" s="337"/>
      <c r="F199" s="359"/>
      <c r="G199" s="359"/>
      <c r="H199" s="327"/>
      <c r="I199" s="327"/>
      <c r="J199" s="327"/>
      <c r="K199" s="327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</row>
    <row r="200" ht="12.0" customHeight="1">
      <c r="A200" s="327"/>
      <c r="B200" s="327"/>
      <c r="C200" s="327"/>
      <c r="D200" s="361" t="s">
        <v>1623</v>
      </c>
      <c r="E200" s="361">
        <v>2016.0</v>
      </c>
      <c r="F200" s="328"/>
      <c r="G200" s="328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27"/>
      <c r="S200" s="327"/>
      <c r="T200" s="327"/>
      <c r="U200" s="327"/>
      <c r="V200" s="327"/>
      <c r="W200" s="327"/>
      <c r="X200" s="327"/>
      <c r="Y200" s="327"/>
      <c r="Z200" s="327"/>
    </row>
    <row r="201" ht="12.0" customHeight="1">
      <c r="A201" s="329" t="s">
        <v>1613</v>
      </c>
      <c r="B201" s="409" t="s">
        <v>941</v>
      </c>
      <c r="C201" s="420">
        <v>2018.0</v>
      </c>
      <c r="D201" s="427">
        <f>1105.25+964.26+964.26+964.26</f>
        <v>3998.03</v>
      </c>
      <c r="E201" s="389"/>
      <c r="F201" s="359"/>
      <c r="G201" s="359"/>
      <c r="H201" s="327"/>
      <c r="I201" s="327"/>
      <c r="J201" s="327"/>
      <c r="K201" s="327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</row>
    <row r="202" ht="12.0" customHeight="1">
      <c r="A202" s="329" t="s">
        <v>1613</v>
      </c>
      <c r="B202" s="330" t="s">
        <v>1615</v>
      </c>
      <c r="C202" s="420">
        <v>2018.0</v>
      </c>
      <c r="D202" s="332"/>
      <c r="E202" s="389"/>
      <c r="F202" s="414"/>
      <c r="G202" s="41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</row>
    <row r="203" ht="12.0" customHeight="1">
      <c r="A203" s="329" t="s">
        <v>1613</v>
      </c>
      <c r="B203" s="330" t="s">
        <v>1497</v>
      </c>
      <c r="C203" s="420">
        <v>2018.0</v>
      </c>
      <c r="D203" s="332">
        <f>1089+1089+1089+1089</f>
        <v>4356</v>
      </c>
      <c r="E203" s="389">
        <f>1089</f>
        <v>1089</v>
      </c>
      <c r="F203" s="359"/>
      <c r="G203" s="359"/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</row>
    <row r="204" ht="12.0" customHeight="1">
      <c r="A204" s="327"/>
      <c r="B204" s="335"/>
      <c r="C204" s="337"/>
      <c r="D204" s="337">
        <f t="shared" ref="D204:E204" si="21">SUM(D201:D203)</f>
        <v>8354.03</v>
      </c>
      <c r="E204" s="337">
        <f t="shared" si="21"/>
        <v>1089</v>
      </c>
      <c r="F204" s="328"/>
      <c r="G204" s="328"/>
      <c r="H204" s="327"/>
      <c r="I204" s="327"/>
      <c r="J204" s="327"/>
      <c r="K204" s="327"/>
      <c r="L204" s="327"/>
      <c r="M204" s="327"/>
      <c r="N204" s="327"/>
      <c r="O204" s="327"/>
      <c r="P204" s="327"/>
      <c r="Q204" s="327"/>
      <c r="R204" s="327"/>
      <c r="S204" s="327"/>
      <c r="T204" s="327"/>
      <c r="U204" s="327"/>
      <c r="V204" s="327"/>
      <c r="W204" s="327"/>
      <c r="X204" s="327"/>
      <c r="Y204" s="327"/>
      <c r="Z204" s="327"/>
    </row>
    <row r="205" ht="12.0" customHeight="1">
      <c r="A205" s="327"/>
      <c r="B205" s="335" t="s">
        <v>1391</v>
      </c>
      <c r="C205" s="337"/>
      <c r="D205" s="337">
        <f t="shared" ref="D205:E205" si="22">D204+(D204*10/100)</f>
        <v>9189.433</v>
      </c>
      <c r="E205" s="337">
        <f t="shared" si="22"/>
        <v>1197.9</v>
      </c>
      <c r="F205" s="328"/>
      <c r="G205" s="328"/>
      <c r="H205" s="327"/>
      <c r="I205" s="327"/>
      <c r="J205" s="327"/>
      <c r="K205" s="327"/>
      <c r="L205" s="327"/>
      <c r="M205" s="327"/>
      <c r="N205" s="327"/>
      <c r="O205" s="327"/>
      <c r="P205" s="327"/>
      <c r="Q205" s="327"/>
      <c r="R205" s="327"/>
      <c r="S205" s="327"/>
      <c r="T205" s="327"/>
      <c r="U205" s="327"/>
      <c r="V205" s="327"/>
      <c r="W205" s="327"/>
      <c r="X205" s="327"/>
      <c r="Y205" s="327"/>
      <c r="Z205" s="327"/>
    </row>
    <row r="206" ht="12.0" customHeight="1">
      <c r="A206" s="327"/>
      <c r="B206" s="327"/>
      <c r="C206" s="327"/>
      <c r="D206" s="328"/>
      <c r="E206" s="328"/>
      <c r="F206" s="359"/>
      <c r="G206" s="359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334"/>
      <c r="Z206" s="334"/>
    </row>
    <row r="207" ht="12.0" customHeight="1">
      <c r="A207" s="327"/>
      <c r="B207" s="327"/>
      <c r="C207" s="327"/>
      <c r="D207" s="361" t="s">
        <v>1623</v>
      </c>
      <c r="E207" s="361">
        <v>2016.0</v>
      </c>
      <c r="F207" s="361" t="s">
        <v>1614</v>
      </c>
      <c r="G207" s="361" t="s">
        <v>1630</v>
      </c>
      <c r="H207" s="327"/>
      <c r="I207" s="327"/>
      <c r="J207" s="327"/>
      <c r="K207" s="327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7"/>
      <c r="X207" s="327"/>
      <c r="Y207" s="327"/>
      <c r="Z207" s="327"/>
    </row>
    <row r="208" ht="12.0" customHeight="1">
      <c r="A208" s="329" t="s">
        <v>1616</v>
      </c>
      <c r="B208" s="330" t="s">
        <v>1617</v>
      </c>
      <c r="C208" s="420">
        <v>2018.0</v>
      </c>
      <c r="D208" s="332">
        <f>2310.8+1545.3+2638.44+2449.98+2512.8+8711.78</f>
        <v>20169.1</v>
      </c>
      <c r="E208" s="389"/>
      <c r="F208" s="389"/>
      <c r="G208" s="389">
        <f>2426.34</f>
        <v>2426.34</v>
      </c>
      <c r="H208" s="327"/>
      <c r="I208" s="327"/>
      <c r="J208" s="327"/>
      <c r="K208" s="327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</row>
    <row r="209" ht="12.75" customHeight="1">
      <c r="A209" s="329" t="s">
        <v>1616</v>
      </c>
      <c r="B209" s="344" t="s">
        <v>919</v>
      </c>
      <c r="C209" s="420">
        <v>2018.0</v>
      </c>
      <c r="D209" s="345"/>
      <c r="E209" s="389"/>
      <c r="F209" s="389"/>
      <c r="G209" s="389"/>
      <c r="H209" s="327"/>
      <c r="I209" s="327"/>
      <c r="J209" s="327"/>
      <c r="K209" s="327"/>
      <c r="L209" s="327"/>
      <c r="M209" s="327"/>
      <c r="N209" s="327"/>
      <c r="O209" s="327"/>
      <c r="P209" s="327"/>
      <c r="Q209" s="327"/>
      <c r="R209" s="334"/>
      <c r="S209" s="334"/>
      <c r="T209" s="334"/>
      <c r="U209" s="334"/>
      <c r="V209" s="334"/>
      <c r="W209" s="334"/>
      <c r="X209" s="334"/>
      <c r="Y209" s="334"/>
      <c r="Z209" s="334"/>
    </row>
    <row r="210" ht="12.75" customHeight="1">
      <c r="A210" s="329" t="s">
        <v>1616</v>
      </c>
      <c r="B210" s="330" t="s">
        <v>1618</v>
      </c>
      <c r="C210" s="420">
        <v>2018.0</v>
      </c>
      <c r="D210" s="345">
        <f>7048.32+9532.99+9069.6+8061.03</f>
        <v>33711.94</v>
      </c>
      <c r="E210" s="332"/>
      <c r="F210" s="332"/>
      <c r="G210" s="332"/>
      <c r="H210" s="327"/>
      <c r="I210" s="327"/>
      <c r="J210" s="327"/>
      <c r="K210" s="327"/>
      <c r="L210" s="327"/>
      <c r="M210" s="327"/>
      <c r="N210" s="327"/>
      <c r="O210" s="327"/>
      <c r="P210" s="327"/>
      <c r="Q210" s="327"/>
      <c r="R210" s="334"/>
      <c r="S210" s="334"/>
      <c r="T210" s="334"/>
      <c r="U210" s="334"/>
      <c r="V210" s="334"/>
      <c r="W210" s="334"/>
      <c r="X210" s="334"/>
      <c r="Y210" s="334"/>
      <c r="Z210" s="334"/>
    </row>
    <row r="211" ht="12.0" customHeight="1">
      <c r="A211" s="327"/>
      <c r="B211" s="327"/>
      <c r="C211" s="328"/>
      <c r="D211" s="328">
        <f t="shared" ref="D211:G211" si="23">SUM(D208:D210)</f>
        <v>53881.04</v>
      </c>
      <c r="E211" s="328">
        <f t="shared" si="23"/>
        <v>0</v>
      </c>
      <c r="F211" s="328">
        <f t="shared" si="23"/>
        <v>0</v>
      </c>
      <c r="G211" s="328">
        <f t="shared" si="23"/>
        <v>2426.34</v>
      </c>
      <c r="H211" s="327"/>
      <c r="I211" s="327"/>
      <c r="J211" s="327"/>
      <c r="K211" s="327"/>
      <c r="L211" s="327"/>
      <c r="M211" s="327"/>
      <c r="N211" s="327"/>
      <c r="O211" s="327"/>
      <c r="P211" s="327"/>
      <c r="Q211" s="327"/>
      <c r="R211" s="334"/>
      <c r="S211" s="334"/>
      <c r="T211" s="334"/>
      <c r="U211" s="334"/>
      <c r="V211" s="334"/>
      <c r="W211" s="334"/>
      <c r="X211" s="334"/>
      <c r="Y211" s="334"/>
      <c r="Z211" s="334"/>
    </row>
    <row r="212" ht="12.0" customHeight="1">
      <c r="A212" s="327"/>
      <c r="B212" s="335" t="s">
        <v>1391</v>
      </c>
      <c r="C212" s="337"/>
      <c r="D212" s="337">
        <f t="shared" ref="D212:G212" si="24">D211+(D211*10/100)</f>
        <v>59269.144</v>
      </c>
      <c r="E212" s="337">
        <f t="shared" si="24"/>
        <v>0</v>
      </c>
      <c r="F212" s="337">
        <f t="shared" si="24"/>
        <v>0</v>
      </c>
      <c r="G212" s="337">
        <f t="shared" si="24"/>
        <v>2668.974</v>
      </c>
      <c r="H212" s="327"/>
      <c r="I212" s="327"/>
      <c r="J212" s="327"/>
      <c r="K212" s="327"/>
      <c r="L212" s="327"/>
      <c r="M212" s="327"/>
      <c r="N212" s="327"/>
      <c r="O212" s="327"/>
      <c r="P212" s="327"/>
      <c r="Q212" s="327"/>
      <c r="R212" s="334"/>
      <c r="S212" s="334"/>
      <c r="T212" s="334"/>
      <c r="U212" s="334"/>
      <c r="V212" s="334"/>
      <c r="W212" s="334"/>
      <c r="X212" s="334"/>
      <c r="Y212" s="334"/>
      <c r="Z212" s="334"/>
    </row>
    <row r="213" ht="12.0" customHeight="1">
      <c r="A213" s="413"/>
      <c r="B213" s="413"/>
      <c r="C213" s="413"/>
      <c r="D213" s="414"/>
      <c r="E213" s="414"/>
      <c r="F213" s="414"/>
      <c r="G213" s="414"/>
      <c r="H213" s="413"/>
      <c r="I213" s="413"/>
      <c r="J213" s="413"/>
      <c r="K213" s="413"/>
      <c r="L213" s="413"/>
      <c r="M213" s="413"/>
      <c r="N213" s="413"/>
      <c r="O213" s="413"/>
      <c r="P213" s="413"/>
      <c r="Q213" s="413"/>
      <c r="R213" s="334"/>
      <c r="S213" s="334"/>
      <c r="T213" s="334"/>
      <c r="U213" s="334"/>
      <c r="V213" s="334"/>
      <c r="W213" s="334"/>
      <c r="X213" s="334"/>
      <c r="Y213" s="334"/>
      <c r="Z213" s="334"/>
    </row>
    <row r="214" ht="12.0" customHeight="1">
      <c r="A214" s="413"/>
      <c r="B214" s="413"/>
      <c r="C214" s="413"/>
      <c r="D214" s="414"/>
      <c r="E214" s="414"/>
      <c r="F214" s="414"/>
      <c r="G214" s="414"/>
      <c r="H214" s="413"/>
      <c r="I214" s="413"/>
      <c r="J214" s="413"/>
      <c r="K214" s="413"/>
      <c r="L214" s="413"/>
      <c r="M214" s="413"/>
      <c r="N214" s="413"/>
      <c r="O214" s="413"/>
      <c r="P214" s="413"/>
      <c r="Q214" s="413"/>
      <c r="R214" s="413"/>
      <c r="S214" s="413"/>
      <c r="T214" s="413"/>
      <c r="U214" s="413"/>
      <c r="V214" s="413"/>
      <c r="W214" s="413"/>
      <c r="X214" s="413"/>
      <c r="Y214" s="413"/>
      <c r="Z214" s="413"/>
    </row>
    <row r="215" ht="12.0" customHeight="1">
      <c r="A215" s="413"/>
      <c r="B215" s="413" t="s">
        <v>1620</v>
      </c>
      <c r="C215" s="413"/>
      <c r="D215" s="415" t="str">
        <f>D5+D18+D24+D29+D34+D38+D44+D55+D58+D64+D69+D73+D82+D112+D124+#REF!+D129+D137+D151+D193+D198+D204+D211+D117</f>
        <v>#REF!</v>
      </c>
      <c r="E215" s="415" t="str">
        <f t="shared" ref="E215:G215" si="25">E5+E18+E24+E29+E34+E38+E44+E55+E58+E64+E69+E73+E82+E112+E124+#REF!+E129+E137+E151+E193+E198+E204+E211</f>
        <v>#REF!</v>
      </c>
      <c r="F215" s="415" t="str">
        <f t="shared" si="25"/>
        <v>#REF!</v>
      </c>
      <c r="G215" s="415" t="str">
        <f t="shared" si="25"/>
        <v>#REF!</v>
      </c>
      <c r="H215" s="413"/>
      <c r="I215" s="413"/>
      <c r="J215" s="413"/>
      <c r="K215" s="413"/>
      <c r="L215" s="413"/>
      <c r="M215" s="413"/>
      <c r="N215" s="413"/>
      <c r="O215" s="413"/>
      <c r="P215" s="413"/>
      <c r="Q215" s="413"/>
      <c r="R215" s="413"/>
      <c r="S215" s="413"/>
      <c r="T215" s="413"/>
      <c r="U215" s="413"/>
      <c r="V215" s="413"/>
      <c r="W215" s="413"/>
      <c r="X215" s="413"/>
      <c r="Y215" s="413"/>
      <c r="Z215" s="413"/>
    </row>
    <row r="216" ht="12.0" customHeight="1">
      <c r="A216" s="413"/>
      <c r="B216" s="413" t="s">
        <v>1632</v>
      </c>
      <c r="C216" s="413"/>
      <c r="D216" s="337" t="str">
        <f t="shared" ref="D216:G216" si="26">D215+(D215*10/100)</f>
        <v>#REF!</v>
      </c>
      <c r="E216" s="337" t="str">
        <f t="shared" si="26"/>
        <v>#REF!</v>
      </c>
      <c r="F216" s="337" t="str">
        <f t="shared" si="26"/>
        <v>#REF!</v>
      </c>
      <c r="G216" s="337" t="str">
        <f t="shared" si="26"/>
        <v>#REF!</v>
      </c>
      <c r="H216" s="413"/>
      <c r="I216" s="413"/>
      <c r="J216" s="413"/>
      <c r="K216" s="413"/>
      <c r="L216" s="413"/>
      <c r="M216" s="413"/>
      <c r="N216" s="413"/>
      <c r="O216" s="413"/>
      <c r="P216" s="413"/>
      <c r="Q216" s="413"/>
      <c r="R216" s="413"/>
      <c r="S216" s="413"/>
      <c r="T216" s="413"/>
      <c r="U216" s="413"/>
      <c r="V216" s="413"/>
      <c r="W216" s="413"/>
      <c r="X216" s="413"/>
      <c r="Y216" s="413"/>
      <c r="Z216" s="413"/>
    </row>
    <row r="217" ht="12.0" customHeight="1">
      <c r="A217" s="413"/>
      <c r="B217" s="413"/>
      <c r="C217" s="413"/>
      <c r="D217" s="414"/>
      <c r="E217" s="414"/>
      <c r="F217" s="414"/>
      <c r="G217" s="414"/>
      <c r="H217" s="413"/>
      <c r="I217" s="413"/>
      <c r="J217" s="413"/>
      <c r="K217" s="413"/>
      <c r="L217" s="413"/>
      <c r="M217" s="413"/>
      <c r="N217" s="413"/>
      <c r="O217" s="413"/>
      <c r="P217" s="413"/>
      <c r="Q217" s="413"/>
      <c r="R217" s="413"/>
      <c r="S217" s="413"/>
      <c r="T217" s="413"/>
      <c r="U217" s="413"/>
      <c r="V217" s="413"/>
      <c r="W217" s="413"/>
      <c r="X217" s="413"/>
      <c r="Y217" s="413"/>
      <c r="Z217" s="413"/>
    </row>
    <row r="218" ht="12.0" customHeight="1">
      <c r="A218" s="413"/>
      <c r="B218" s="413"/>
      <c r="C218" s="413"/>
      <c r="D218" s="414"/>
      <c r="E218" s="414"/>
      <c r="F218" s="414"/>
      <c r="G218" s="414"/>
      <c r="H218" s="413"/>
      <c r="I218" s="413"/>
      <c r="J218" s="413"/>
      <c r="K218" s="413"/>
      <c r="L218" s="413"/>
      <c r="M218" s="413"/>
      <c r="N218" s="413"/>
      <c r="O218" s="413"/>
      <c r="P218" s="413"/>
      <c r="Q218" s="413"/>
      <c r="R218" s="413"/>
      <c r="S218" s="413"/>
      <c r="T218" s="413"/>
      <c r="U218" s="413"/>
      <c r="V218" s="413"/>
      <c r="W218" s="413"/>
      <c r="X218" s="413"/>
      <c r="Y218" s="413"/>
      <c r="Z218" s="413"/>
    </row>
    <row r="219" ht="12.0" customHeight="1">
      <c r="A219" s="413"/>
      <c r="B219" s="413"/>
      <c r="C219" s="413"/>
      <c r="D219" s="414"/>
      <c r="E219" s="414"/>
      <c r="F219" s="414"/>
      <c r="G219" s="414"/>
      <c r="H219" s="413"/>
      <c r="I219" s="413"/>
      <c r="J219" s="413"/>
      <c r="K219" s="413"/>
      <c r="L219" s="413"/>
      <c r="M219" s="413"/>
      <c r="N219" s="413"/>
      <c r="O219" s="413"/>
      <c r="P219" s="413"/>
      <c r="Q219" s="413"/>
      <c r="R219" s="413"/>
      <c r="S219" s="413"/>
      <c r="T219" s="413"/>
      <c r="U219" s="413"/>
      <c r="V219" s="413"/>
      <c r="W219" s="413"/>
      <c r="X219" s="413"/>
      <c r="Y219" s="413"/>
      <c r="Z219" s="413"/>
    </row>
    <row r="220" ht="12.0" customHeight="1">
      <c r="A220" s="413"/>
      <c r="B220" s="413"/>
      <c r="C220" s="413"/>
      <c r="D220" s="414"/>
      <c r="E220" s="414"/>
      <c r="F220" s="414"/>
      <c r="G220" s="414"/>
      <c r="H220" s="413"/>
      <c r="I220" s="413"/>
      <c r="J220" s="413"/>
      <c r="K220" s="413"/>
      <c r="L220" s="413"/>
      <c r="M220" s="413"/>
      <c r="N220" s="413"/>
      <c r="O220" s="413"/>
      <c r="P220" s="413"/>
      <c r="Q220" s="413"/>
      <c r="R220" s="413"/>
      <c r="S220" s="413"/>
      <c r="T220" s="413"/>
      <c r="U220" s="413"/>
      <c r="V220" s="413"/>
      <c r="W220" s="413"/>
      <c r="X220" s="413"/>
      <c r="Y220" s="413"/>
      <c r="Z220" s="413"/>
    </row>
    <row r="221" ht="12.0" customHeight="1">
      <c r="A221" s="413"/>
      <c r="B221" s="413"/>
      <c r="C221" s="413"/>
      <c r="D221" s="414"/>
      <c r="E221" s="414"/>
      <c r="F221" s="414"/>
      <c r="G221" s="414"/>
      <c r="H221" s="413"/>
      <c r="I221" s="413"/>
      <c r="J221" s="413"/>
      <c r="K221" s="413"/>
      <c r="L221" s="413"/>
      <c r="M221" s="413"/>
      <c r="N221" s="413"/>
      <c r="O221" s="413"/>
      <c r="P221" s="413"/>
      <c r="Q221" s="413"/>
      <c r="R221" s="413"/>
      <c r="S221" s="413"/>
      <c r="T221" s="413"/>
      <c r="U221" s="413"/>
      <c r="V221" s="413"/>
      <c r="W221" s="413"/>
      <c r="X221" s="413"/>
      <c r="Y221" s="413"/>
      <c r="Z221" s="413"/>
    </row>
    <row r="222" ht="12.0" customHeight="1">
      <c r="A222" s="413"/>
      <c r="B222" s="413"/>
      <c r="C222" s="413"/>
      <c r="D222" s="414"/>
      <c r="E222" s="414"/>
      <c r="F222" s="414"/>
      <c r="G222" s="414"/>
      <c r="H222" s="413"/>
      <c r="I222" s="413"/>
      <c r="J222" s="413"/>
      <c r="K222" s="413"/>
      <c r="L222" s="413"/>
      <c r="M222" s="413"/>
      <c r="N222" s="413"/>
      <c r="O222" s="413"/>
      <c r="P222" s="413"/>
      <c r="Q222" s="413"/>
      <c r="R222" s="413"/>
      <c r="S222" s="413"/>
      <c r="T222" s="413"/>
      <c r="U222" s="413"/>
      <c r="V222" s="413"/>
      <c r="W222" s="413"/>
      <c r="X222" s="413"/>
      <c r="Y222" s="413"/>
      <c r="Z222" s="413"/>
    </row>
    <row r="223" ht="12.75" customHeight="1">
      <c r="A223" s="416"/>
      <c r="B223" s="416"/>
      <c r="C223" s="416"/>
      <c r="D223" s="417"/>
      <c r="E223" s="417"/>
      <c r="F223" s="414"/>
      <c r="G223" s="414"/>
      <c r="H223" s="413"/>
      <c r="I223" s="413"/>
      <c r="J223" s="413"/>
      <c r="K223" s="413"/>
      <c r="L223" s="413"/>
      <c r="M223" s="413"/>
      <c r="N223" s="413"/>
      <c r="O223" s="413"/>
      <c r="P223" s="413"/>
      <c r="Q223" s="413"/>
      <c r="R223" s="413"/>
      <c r="S223" s="413"/>
      <c r="T223" s="413"/>
      <c r="U223" s="413"/>
      <c r="V223" s="413"/>
      <c r="W223" s="413"/>
      <c r="X223" s="413"/>
      <c r="Y223" s="413"/>
      <c r="Z223" s="413"/>
    </row>
    <row r="224" ht="12.0" customHeight="1">
      <c r="A224" s="413"/>
      <c r="B224" s="413"/>
      <c r="C224" s="413"/>
      <c r="D224" s="414"/>
      <c r="E224" s="414"/>
      <c r="F224" s="414"/>
      <c r="G224" s="414"/>
      <c r="H224" s="413"/>
      <c r="I224" s="413"/>
      <c r="J224" s="413"/>
      <c r="K224" s="413"/>
      <c r="L224" s="413"/>
      <c r="M224" s="413"/>
      <c r="N224" s="413"/>
      <c r="O224" s="413"/>
      <c r="P224" s="413"/>
      <c r="Q224" s="413"/>
      <c r="R224" s="413"/>
      <c r="S224" s="413"/>
      <c r="T224" s="413"/>
      <c r="U224" s="413"/>
      <c r="V224" s="413"/>
      <c r="W224" s="413"/>
      <c r="X224" s="413"/>
      <c r="Y224" s="413"/>
      <c r="Z224" s="413"/>
    </row>
    <row r="225" ht="12.0" customHeight="1">
      <c r="A225" s="413"/>
      <c r="B225" s="413"/>
      <c r="C225" s="413"/>
      <c r="D225" s="414"/>
      <c r="E225" s="414"/>
      <c r="F225" s="414"/>
      <c r="G225" s="414"/>
      <c r="H225" s="413"/>
      <c r="I225" s="413"/>
      <c r="J225" s="413"/>
      <c r="K225" s="413"/>
      <c r="L225" s="413"/>
      <c r="M225" s="413"/>
      <c r="N225" s="413"/>
      <c r="O225" s="413"/>
      <c r="P225" s="413"/>
      <c r="Q225" s="413"/>
      <c r="R225" s="413"/>
      <c r="S225" s="413"/>
      <c r="T225" s="413"/>
      <c r="U225" s="413"/>
      <c r="V225" s="413"/>
      <c r="W225" s="413"/>
      <c r="X225" s="413"/>
      <c r="Y225" s="413"/>
      <c r="Z225" s="413"/>
    </row>
    <row r="226" ht="12.0" customHeight="1">
      <c r="A226" s="413"/>
      <c r="B226" s="413"/>
      <c r="C226" s="413"/>
      <c r="D226" s="414"/>
      <c r="E226" s="414"/>
      <c r="F226" s="414"/>
      <c r="G226" s="414"/>
      <c r="H226" s="413"/>
      <c r="I226" s="413"/>
      <c r="J226" s="413"/>
      <c r="K226" s="413"/>
      <c r="L226" s="413"/>
      <c r="M226" s="413"/>
      <c r="N226" s="413"/>
      <c r="O226" s="413"/>
      <c r="P226" s="413"/>
      <c r="Q226" s="413"/>
      <c r="R226" s="413"/>
      <c r="S226" s="413"/>
      <c r="T226" s="413"/>
      <c r="U226" s="413"/>
      <c r="V226" s="413"/>
      <c r="W226" s="413"/>
      <c r="X226" s="413"/>
      <c r="Y226" s="413"/>
      <c r="Z226" s="413"/>
    </row>
    <row r="227" ht="12.0" customHeight="1">
      <c r="A227" s="413"/>
      <c r="B227" s="413"/>
      <c r="C227" s="413"/>
      <c r="D227" s="414"/>
      <c r="E227" s="414"/>
      <c r="F227" s="414"/>
      <c r="G227" s="414"/>
      <c r="H227" s="413"/>
      <c r="I227" s="413"/>
      <c r="J227" s="413"/>
      <c r="K227" s="413"/>
      <c r="L227" s="413"/>
      <c r="M227" s="413"/>
      <c r="N227" s="413"/>
      <c r="O227" s="413"/>
      <c r="P227" s="413"/>
      <c r="Q227" s="413"/>
      <c r="R227" s="413"/>
      <c r="S227" s="413"/>
      <c r="T227" s="413"/>
      <c r="U227" s="413"/>
      <c r="V227" s="413"/>
      <c r="W227" s="413"/>
      <c r="X227" s="413"/>
      <c r="Y227" s="413"/>
      <c r="Z227" s="413"/>
    </row>
    <row r="228" ht="12.75" customHeight="1">
      <c r="A228" s="413"/>
      <c r="B228" s="413"/>
      <c r="C228" s="413"/>
      <c r="D228" s="414"/>
      <c r="E228" s="414"/>
      <c r="F228" s="417"/>
      <c r="G228" s="417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  <c r="T228" s="416"/>
      <c r="U228" s="416"/>
      <c r="V228" s="416"/>
      <c r="W228" s="416"/>
      <c r="X228" s="416"/>
      <c r="Y228" s="416"/>
      <c r="Z228" s="416"/>
    </row>
    <row r="229" ht="12.0" customHeight="1">
      <c r="A229" s="413"/>
      <c r="B229" s="413"/>
      <c r="C229" s="413"/>
      <c r="D229" s="414"/>
      <c r="E229" s="414"/>
      <c r="F229" s="414"/>
      <c r="G229" s="414"/>
      <c r="H229" s="413"/>
      <c r="I229" s="413"/>
      <c r="J229" s="413"/>
      <c r="K229" s="413"/>
      <c r="L229" s="413"/>
      <c r="M229" s="413"/>
      <c r="N229" s="413"/>
      <c r="O229" s="413"/>
      <c r="P229" s="413"/>
      <c r="Q229" s="413"/>
      <c r="R229" s="413"/>
      <c r="S229" s="413"/>
      <c r="T229" s="413"/>
      <c r="U229" s="413"/>
      <c r="V229" s="413"/>
      <c r="W229" s="413"/>
      <c r="X229" s="413"/>
      <c r="Y229" s="413"/>
      <c r="Z229" s="413"/>
    </row>
    <row r="230" ht="12.0" customHeight="1">
      <c r="A230" s="413"/>
      <c r="B230" s="413"/>
      <c r="C230" s="413"/>
      <c r="D230" s="414"/>
      <c r="E230" s="414"/>
      <c r="F230" s="414"/>
      <c r="G230" s="414"/>
      <c r="H230" s="413"/>
      <c r="I230" s="413"/>
      <c r="J230" s="413"/>
      <c r="K230" s="413"/>
      <c r="L230" s="413"/>
      <c r="M230" s="413"/>
      <c r="N230" s="413"/>
      <c r="O230" s="413"/>
      <c r="P230" s="413"/>
      <c r="Q230" s="413"/>
      <c r="R230" s="413"/>
      <c r="S230" s="413"/>
      <c r="T230" s="413"/>
      <c r="U230" s="413"/>
      <c r="V230" s="413"/>
      <c r="W230" s="413"/>
      <c r="X230" s="413"/>
      <c r="Y230" s="413"/>
      <c r="Z230" s="413"/>
    </row>
    <row r="231" ht="12.0" customHeight="1">
      <c r="A231" s="413"/>
      <c r="B231" s="413"/>
      <c r="C231" s="413"/>
      <c r="D231" s="414"/>
      <c r="E231" s="414"/>
      <c r="F231" s="414"/>
      <c r="G231" s="414"/>
      <c r="H231" s="413"/>
      <c r="I231" s="413"/>
      <c r="J231" s="413"/>
      <c r="K231" s="413"/>
      <c r="L231" s="413"/>
      <c r="M231" s="413"/>
      <c r="N231" s="413"/>
      <c r="O231" s="413"/>
      <c r="P231" s="413"/>
      <c r="Q231" s="413"/>
      <c r="R231" s="413"/>
      <c r="S231" s="413"/>
      <c r="T231" s="413"/>
      <c r="U231" s="413"/>
      <c r="V231" s="413"/>
      <c r="W231" s="413"/>
      <c r="X231" s="413"/>
      <c r="Y231" s="413"/>
      <c r="Z231" s="413"/>
    </row>
    <row r="232" ht="12.0" customHeight="1">
      <c r="A232" s="413"/>
      <c r="B232" s="413"/>
      <c r="C232" s="413"/>
      <c r="D232" s="414"/>
      <c r="E232" s="414"/>
      <c r="F232" s="414"/>
      <c r="G232" s="414"/>
      <c r="H232" s="413"/>
      <c r="I232" s="413"/>
      <c r="J232" s="413"/>
      <c r="K232" s="413"/>
      <c r="L232" s="413"/>
      <c r="M232" s="413"/>
      <c r="N232" s="413"/>
      <c r="O232" s="413"/>
      <c r="P232" s="413"/>
      <c r="Q232" s="413"/>
      <c r="R232" s="413"/>
      <c r="S232" s="413"/>
      <c r="T232" s="413"/>
      <c r="U232" s="413"/>
      <c r="V232" s="413"/>
      <c r="W232" s="413"/>
      <c r="X232" s="413"/>
      <c r="Y232" s="413"/>
      <c r="Z232" s="413"/>
    </row>
    <row r="233" ht="12.0" customHeight="1">
      <c r="A233" s="413"/>
      <c r="B233" s="413"/>
      <c r="C233" s="413"/>
      <c r="D233" s="414"/>
      <c r="E233" s="414"/>
      <c r="F233" s="414"/>
      <c r="G233" s="414"/>
      <c r="H233" s="413"/>
      <c r="I233" s="413"/>
      <c r="J233" s="413"/>
      <c r="K233" s="413"/>
      <c r="L233" s="413"/>
      <c r="M233" s="413"/>
      <c r="N233" s="413"/>
      <c r="O233" s="413"/>
      <c r="P233" s="413"/>
      <c r="Q233" s="413"/>
      <c r="R233" s="413"/>
      <c r="S233" s="413"/>
      <c r="T233" s="413"/>
      <c r="U233" s="413"/>
      <c r="V233" s="413"/>
      <c r="W233" s="413"/>
      <c r="X233" s="413"/>
      <c r="Y233" s="413"/>
      <c r="Z233" s="413"/>
    </row>
    <row r="234" ht="12.0" customHeight="1">
      <c r="A234" s="413"/>
      <c r="B234" s="413"/>
      <c r="C234" s="413"/>
      <c r="D234" s="414"/>
      <c r="E234" s="414"/>
      <c r="F234" s="414"/>
      <c r="G234" s="414"/>
      <c r="H234" s="413"/>
      <c r="I234" s="413"/>
      <c r="J234" s="413"/>
      <c r="K234" s="413"/>
      <c r="L234" s="413"/>
      <c r="M234" s="413"/>
      <c r="N234" s="413"/>
      <c r="O234" s="413"/>
      <c r="P234" s="413"/>
      <c r="Q234" s="413"/>
      <c r="R234" s="413"/>
      <c r="S234" s="413"/>
      <c r="T234" s="413"/>
      <c r="U234" s="413"/>
      <c r="V234" s="413"/>
      <c r="W234" s="413"/>
      <c r="X234" s="413"/>
      <c r="Y234" s="413"/>
      <c r="Z234" s="413"/>
    </row>
    <row r="235" ht="12.0" customHeight="1">
      <c r="A235" s="413"/>
      <c r="B235" s="413"/>
      <c r="C235" s="413"/>
      <c r="D235" s="414"/>
      <c r="E235" s="414"/>
      <c r="F235" s="414"/>
      <c r="G235" s="414"/>
      <c r="H235" s="413"/>
      <c r="I235" s="413"/>
      <c r="J235" s="413"/>
      <c r="K235" s="413"/>
      <c r="L235" s="413"/>
      <c r="M235" s="413"/>
      <c r="N235" s="413"/>
      <c r="O235" s="413"/>
      <c r="P235" s="413"/>
      <c r="Q235" s="413"/>
      <c r="R235" s="413"/>
      <c r="S235" s="413"/>
      <c r="T235" s="413"/>
      <c r="U235" s="413"/>
      <c r="V235" s="413"/>
      <c r="W235" s="413"/>
      <c r="X235" s="413"/>
      <c r="Y235" s="413"/>
      <c r="Z235" s="413"/>
    </row>
    <row r="236" ht="12.0" customHeight="1">
      <c r="A236" s="413"/>
      <c r="B236" s="413"/>
      <c r="C236" s="413"/>
      <c r="D236" s="414"/>
      <c r="E236" s="414"/>
      <c r="F236" s="414"/>
      <c r="G236" s="414"/>
      <c r="H236" s="413"/>
      <c r="I236" s="413"/>
      <c r="J236" s="413"/>
      <c r="K236" s="413"/>
      <c r="L236" s="413"/>
      <c r="M236" s="413"/>
      <c r="N236" s="413"/>
      <c r="O236" s="413"/>
      <c r="P236" s="413"/>
      <c r="Q236" s="413"/>
      <c r="R236" s="413"/>
      <c r="S236" s="413"/>
      <c r="T236" s="413"/>
      <c r="U236" s="413"/>
      <c r="V236" s="413"/>
      <c r="W236" s="413"/>
      <c r="X236" s="413"/>
      <c r="Y236" s="413"/>
      <c r="Z236" s="413"/>
    </row>
    <row r="237" ht="12.0" customHeight="1">
      <c r="A237" s="413"/>
      <c r="B237" s="413"/>
      <c r="C237" s="413"/>
      <c r="D237" s="414"/>
      <c r="E237" s="414"/>
      <c r="F237" s="414"/>
      <c r="G237" s="414"/>
      <c r="H237" s="413"/>
      <c r="I237" s="413"/>
      <c r="J237" s="413"/>
      <c r="K237" s="413"/>
      <c r="L237" s="413"/>
      <c r="M237" s="413"/>
      <c r="N237" s="413"/>
      <c r="O237" s="413"/>
      <c r="P237" s="413"/>
      <c r="Q237" s="413"/>
      <c r="R237" s="413"/>
      <c r="S237" s="413"/>
      <c r="T237" s="413"/>
      <c r="U237" s="413"/>
      <c r="V237" s="413"/>
      <c r="W237" s="413"/>
      <c r="X237" s="413"/>
      <c r="Y237" s="413"/>
      <c r="Z237" s="413"/>
    </row>
    <row r="238" ht="12.0" customHeight="1">
      <c r="A238" s="413"/>
      <c r="B238" s="413"/>
      <c r="C238" s="413"/>
      <c r="D238" s="414"/>
      <c r="E238" s="414"/>
      <c r="F238" s="414"/>
      <c r="G238" s="414"/>
      <c r="H238" s="413"/>
      <c r="I238" s="413"/>
      <c r="J238" s="413"/>
      <c r="K238" s="413"/>
      <c r="L238" s="413"/>
      <c r="M238" s="413"/>
      <c r="N238" s="413"/>
      <c r="O238" s="413"/>
      <c r="P238" s="413"/>
      <c r="Q238" s="413"/>
      <c r="R238" s="413"/>
      <c r="S238" s="413"/>
      <c r="T238" s="413"/>
      <c r="U238" s="413"/>
      <c r="V238" s="413"/>
      <c r="W238" s="413"/>
      <c r="X238" s="413"/>
      <c r="Y238" s="413"/>
      <c r="Z238" s="413"/>
    </row>
    <row r="239" ht="12.0" customHeight="1">
      <c r="A239" s="413"/>
      <c r="B239" s="413"/>
      <c r="C239" s="413"/>
      <c r="D239" s="414"/>
      <c r="E239" s="414"/>
      <c r="F239" s="414"/>
      <c r="G239" s="414"/>
      <c r="H239" s="413"/>
      <c r="I239" s="413"/>
      <c r="J239" s="413"/>
      <c r="K239" s="413"/>
      <c r="L239" s="413"/>
      <c r="M239" s="413"/>
      <c r="N239" s="413"/>
      <c r="O239" s="413"/>
      <c r="P239" s="413"/>
      <c r="Q239" s="413"/>
      <c r="R239" s="413"/>
      <c r="S239" s="413"/>
      <c r="T239" s="413"/>
      <c r="U239" s="413"/>
      <c r="V239" s="413"/>
      <c r="W239" s="413"/>
      <c r="X239" s="413"/>
      <c r="Y239" s="413"/>
      <c r="Z239" s="413"/>
    </row>
    <row r="240" ht="12.0" customHeight="1">
      <c r="A240" s="413"/>
      <c r="B240" s="413"/>
      <c r="C240" s="413"/>
      <c r="D240" s="414"/>
      <c r="E240" s="414"/>
      <c r="F240" s="414"/>
      <c r="G240" s="414"/>
      <c r="H240" s="413"/>
      <c r="I240" s="413"/>
      <c r="J240" s="413"/>
      <c r="K240" s="413"/>
      <c r="L240" s="413"/>
      <c r="M240" s="413"/>
      <c r="N240" s="413"/>
      <c r="O240" s="413"/>
      <c r="P240" s="413"/>
      <c r="Q240" s="413"/>
      <c r="R240" s="413"/>
      <c r="S240" s="413"/>
      <c r="T240" s="413"/>
      <c r="U240" s="413"/>
      <c r="V240" s="413"/>
      <c r="W240" s="413"/>
      <c r="X240" s="413"/>
      <c r="Y240" s="413"/>
      <c r="Z240" s="413"/>
    </row>
    <row r="241" ht="12.0" customHeight="1">
      <c r="A241" s="413"/>
      <c r="B241" s="413"/>
      <c r="C241" s="413"/>
      <c r="D241" s="414"/>
      <c r="E241" s="414"/>
      <c r="F241" s="414"/>
      <c r="G241" s="414"/>
      <c r="H241" s="413"/>
      <c r="I241" s="413"/>
      <c r="J241" s="413"/>
      <c r="K241" s="413"/>
      <c r="L241" s="413"/>
      <c r="M241" s="413"/>
      <c r="N241" s="413"/>
      <c r="O241" s="413"/>
      <c r="P241" s="413"/>
      <c r="Q241" s="413"/>
      <c r="R241" s="413"/>
      <c r="S241" s="413"/>
      <c r="T241" s="413"/>
      <c r="U241" s="413"/>
      <c r="V241" s="413"/>
      <c r="W241" s="413"/>
      <c r="X241" s="413"/>
      <c r="Y241" s="413"/>
      <c r="Z241" s="413"/>
    </row>
    <row r="242" ht="12.0" customHeight="1">
      <c r="A242" s="413"/>
      <c r="B242" s="413"/>
      <c r="C242" s="413"/>
      <c r="D242" s="414"/>
      <c r="E242" s="414"/>
      <c r="F242" s="414"/>
      <c r="G242" s="414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  <c r="T242" s="413"/>
      <c r="U242" s="413"/>
      <c r="V242" s="413"/>
      <c r="W242" s="413"/>
      <c r="X242" s="413"/>
      <c r="Y242" s="413"/>
      <c r="Z242" s="413"/>
    </row>
    <row r="243" ht="12.0" customHeight="1">
      <c r="A243" s="413"/>
      <c r="B243" s="413"/>
      <c r="C243" s="413"/>
      <c r="D243" s="414"/>
      <c r="E243" s="414"/>
      <c r="F243" s="414"/>
      <c r="G243" s="414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  <c r="T243" s="413"/>
      <c r="U243" s="413"/>
      <c r="V243" s="413"/>
      <c r="W243" s="413"/>
      <c r="X243" s="413"/>
      <c r="Y243" s="413"/>
      <c r="Z243" s="413"/>
    </row>
    <row r="244" ht="12.0" customHeight="1">
      <c r="A244" s="413"/>
      <c r="B244" s="413"/>
      <c r="C244" s="413"/>
      <c r="D244" s="414"/>
      <c r="E244" s="414"/>
      <c r="F244" s="414"/>
      <c r="G244" s="414"/>
      <c r="H244" s="413"/>
      <c r="I244" s="413"/>
      <c r="J244" s="413"/>
      <c r="K244" s="413"/>
      <c r="L244" s="413"/>
      <c r="M244" s="413"/>
      <c r="N244" s="413"/>
      <c r="O244" s="413"/>
      <c r="P244" s="413"/>
      <c r="Q244" s="413"/>
      <c r="R244" s="413"/>
      <c r="S244" s="413"/>
      <c r="T244" s="413"/>
      <c r="U244" s="413"/>
      <c r="V244" s="413"/>
      <c r="W244" s="413"/>
      <c r="X244" s="413"/>
      <c r="Y244" s="413"/>
      <c r="Z244" s="413"/>
    </row>
    <row r="245" ht="12.0" customHeight="1">
      <c r="A245" s="413"/>
      <c r="B245" s="413"/>
      <c r="C245" s="413"/>
      <c r="D245" s="414"/>
      <c r="E245" s="414"/>
      <c r="F245" s="414"/>
      <c r="G245" s="414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413"/>
      <c r="T245" s="413"/>
      <c r="U245" s="413"/>
      <c r="V245" s="413"/>
      <c r="W245" s="413"/>
      <c r="X245" s="413"/>
      <c r="Y245" s="413"/>
      <c r="Z245" s="413"/>
    </row>
    <row r="246" ht="12.0" customHeight="1">
      <c r="A246" s="413"/>
      <c r="B246" s="413"/>
      <c r="C246" s="413"/>
      <c r="D246" s="414"/>
      <c r="E246" s="414"/>
      <c r="F246" s="414"/>
      <c r="G246" s="414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413"/>
      <c r="T246" s="413"/>
      <c r="U246" s="413"/>
      <c r="V246" s="413"/>
      <c r="W246" s="413"/>
      <c r="X246" s="413"/>
      <c r="Y246" s="413"/>
      <c r="Z246" s="413"/>
    </row>
    <row r="247" ht="12.0" customHeight="1">
      <c r="A247" s="413"/>
      <c r="B247" s="413"/>
      <c r="C247" s="413"/>
      <c r="D247" s="414"/>
      <c r="E247" s="414"/>
      <c r="F247" s="414"/>
      <c r="G247" s="414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  <c r="T247" s="413"/>
      <c r="U247" s="413"/>
      <c r="V247" s="413"/>
      <c r="W247" s="413"/>
      <c r="X247" s="413"/>
      <c r="Y247" s="413"/>
      <c r="Z247" s="413"/>
    </row>
    <row r="248" ht="12.0" customHeight="1">
      <c r="A248" s="413"/>
      <c r="B248" s="413"/>
      <c r="C248" s="413"/>
      <c r="D248" s="414"/>
      <c r="E248" s="414"/>
      <c r="F248" s="414"/>
      <c r="G248" s="414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  <c r="T248" s="413"/>
      <c r="U248" s="413"/>
      <c r="V248" s="413"/>
      <c r="W248" s="413"/>
      <c r="X248" s="413"/>
      <c r="Y248" s="413"/>
      <c r="Z248" s="413"/>
    </row>
    <row r="249" ht="12.0" customHeight="1">
      <c r="A249" s="413"/>
      <c r="B249" s="413"/>
      <c r="C249" s="413"/>
      <c r="D249" s="414"/>
      <c r="E249" s="414"/>
      <c r="F249" s="414"/>
      <c r="G249" s="414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  <c r="T249" s="413"/>
      <c r="U249" s="413"/>
      <c r="V249" s="413"/>
      <c r="W249" s="413"/>
      <c r="X249" s="413"/>
      <c r="Y249" s="413"/>
      <c r="Z249" s="413"/>
    </row>
    <row r="250" ht="12.0" customHeight="1">
      <c r="A250" s="413"/>
      <c r="B250" s="413"/>
      <c r="C250" s="413"/>
      <c r="D250" s="414"/>
      <c r="E250" s="414"/>
      <c r="F250" s="414"/>
      <c r="G250" s="414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</row>
    <row r="251" ht="12.0" customHeight="1">
      <c r="A251" s="413"/>
      <c r="B251" s="413"/>
      <c r="C251" s="413"/>
      <c r="D251" s="414"/>
      <c r="E251" s="414"/>
      <c r="F251" s="414"/>
      <c r="G251" s="414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  <c r="T251" s="413"/>
      <c r="U251" s="413"/>
      <c r="V251" s="413"/>
      <c r="W251" s="413"/>
      <c r="X251" s="413"/>
      <c r="Y251" s="413"/>
      <c r="Z251" s="413"/>
    </row>
    <row r="252" ht="12.0" customHeight="1">
      <c r="A252" s="413"/>
      <c r="B252" s="413"/>
      <c r="C252" s="413"/>
      <c r="D252" s="414"/>
      <c r="E252" s="414"/>
      <c r="F252" s="414"/>
      <c r="G252" s="414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  <c r="T252" s="413"/>
      <c r="U252" s="413"/>
      <c r="V252" s="413"/>
      <c r="W252" s="413"/>
      <c r="X252" s="413"/>
      <c r="Y252" s="413"/>
      <c r="Z252" s="413"/>
    </row>
    <row r="253" ht="12.0" customHeight="1">
      <c r="A253" s="413"/>
      <c r="B253" s="413"/>
      <c r="C253" s="413"/>
      <c r="D253" s="414"/>
      <c r="E253" s="414"/>
      <c r="F253" s="414"/>
      <c r="G253" s="414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  <c r="T253" s="413"/>
      <c r="U253" s="413"/>
      <c r="V253" s="413"/>
      <c r="W253" s="413"/>
      <c r="X253" s="413"/>
      <c r="Y253" s="413"/>
      <c r="Z253" s="413"/>
    </row>
    <row r="254" ht="12.0" customHeight="1">
      <c r="A254" s="413"/>
      <c r="B254" s="413"/>
      <c r="C254" s="413"/>
      <c r="D254" s="414"/>
      <c r="E254" s="414"/>
      <c r="F254" s="414"/>
      <c r="G254" s="414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  <c r="T254" s="413"/>
      <c r="U254" s="413"/>
      <c r="V254" s="413"/>
      <c r="W254" s="413"/>
      <c r="X254" s="413"/>
      <c r="Y254" s="413"/>
      <c r="Z254" s="413"/>
    </row>
    <row r="255" ht="12.0" customHeight="1">
      <c r="A255" s="413"/>
      <c r="B255" s="413"/>
      <c r="C255" s="413"/>
      <c r="D255" s="414"/>
      <c r="E255" s="414"/>
      <c r="F255" s="414"/>
      <c r="G255" s="414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  <c r="T255" s="413"/>
      <c r="U255" s="413"/>
      <c r="V255" s="413"/>
      <c r="W255" s="413"/>
      <c r="X255" s="413"/>
      <c r="Y255" s="413"/>
      <c r="Z255" s="413"/>
    </row>
    <row r="256" ht="12.0" customHeight="1">
      <c r="A256" s="413"/>
      <c r="B256" s="413"/>
      <c r="C256" s="413"/>
      <c r="D256" s="414"/>
      <c r="E256" s="414"/>
      <c r="F256" s="414"/>
      <c r="G256" s="414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  <c r="T256" s="413"/>
      <c r="U256" s="413"/>
      <c r="V256" s="413"/>
      <c r="W256" s="413"/>
      <c r="X256" s="413"/>
      <c r="Y256" s="413"/>
      <c r="Z256" s="413"/>
    </row>
    <row r="257" ht="12.0" customHeight="1">
      <c r="A257" s="413"/>
      <c r="B257" s="413"/>
      <c r="C257" s="413"/>
      <c r="D257" s="414"/>
      <c r="E257" s="414"/>
      <c r="F257" s="414"/>
      <c r="G257" s="414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  <c r="T257" s="413"/>
      <c r="U257" s="413"/>
      <c r="V257" s="413"/>
      <c r="W257" s="413"/>
      <c r="X257" s="413"/>
      <c r="Y257" s="413"/>
      <c r="Z257" s="413"/>
    </row>
    <row r="258" ht="12.0" customHeight="1">
      <c r="A258" s="413"/>
      <c r="B258" s="413"/>
      <c r="C258" s="413"/>
      <c r="D258" s="414"/>
      <c r="E258" s="414"/>
      <c r="F258" s="414"/>
      <c r="G258" s="414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  <c r="T258" s="413"/>
      <c r="U258" s="413"/>
      <c r="V258" s="413"/>
      <c r="W258" s="413"/>
      <c r="X258" s="413"/>
      <c r="Y258" s="413"/>
      <c r="Z258" s="413"/>
    </row>
    <row r="259" ht="12.0" customHeight="1">
      <c r="A259" s="413"/>
      <c r="B259" s="413"/>
      <c r="C259" s="413"/>
      <c r="D259" s="414"/>
      <c r="E259" s="414"/>
      <c r="F259" s="414"/>
      <c r="G259" s="414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  <c r="T259" s="413"/>
      <c r="U259" s="413"/>
      <c r="V259" s="413"/>
      <c r="W259" s="413"/>
      <c r="X259" s="413"/>
      <c r="Y259" s="413"/>
      <c r="Z259" s="413"/>
    </row>
    <row r="260" ht="12.0" customHeight="1">
      <c r="A260" s="413"/>
      <c r="B260" s="413"/>
      <c r="C260" s="413"/>
      <c r="D260" s="414"/>
      <c r="E260" s="414"/>
      <c r="F260" s="414"/>
      <c r="G260" s="414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413"/>
      <c r="U260" s="413"/>
      <c r="V260" s="413"/>
      <c r="W260" s="413"/>
      <c r="X260" s="413"/>
      <c r="Y260" s="413"/>
      <c r="Z260" s="413"/>
    </row>
    <row r="261" ht="12.0" customHeight="1">
      <c r="A261" s="413"/>
      <c r="B261" s="413"/>
      <c r="C261" s="413"/>
      <c r="D261" s="414"/>
      <c r="E261" s="414"/>
      <c r="F261" s="414"/>
      <c r="G261" s="414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  <c r="T261" s="413"/>
      <c r="U261" s="413"/>
      <c r="V261" s="413"/>
      <c r="W261" s="413"/>
      <c r="X261" s="413"/>
      <c r="Y261" s="413"/>
      <c r="Z261" s="413"/>
    </row>
    <row r="262" ht="12.0" customHeight="1">
      <c r="A262" s="413"/>
      <c r="B262" s="413"/>
      <c r="C262" s="413"/>
      <c r="D262" s="414"/>
      <c r="E262" s="414"/>
      <c r="F262" s="414"/>
      <c r="G262" s="414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  <c r="T262" s="413"/>
      <c r="U262" s="413"/>
      <c r="V262" s="413"/>
      <c r="W262" s="413"/>
      <c r="X262" s="413"/>
      <c r="Y262" s="413"/>
      <c r="Z262" s="413"/>
    </row>
    <row r="263" ht="12.0" customHeight="1">
      <c r="A263" s="413"/>
      <c r="B263" s="413"/>
      <c r="C263" s="413"/>
      <c r="D263" s="414"/>
      <c r="E263" s="414"/>
      <c r="F263" s="414"/>
      <c r="G263" s="414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  <c r="T263" s="413"/>
      <c r="U263" s="413"/>
      <c r="V263" s="413"/>
      <c r="W263" s="413"/>
      <c r="X263" s="413"/>
      <c r="Y263" s="413"/>
      <c r="Z263" s="413"/>
    </row>
    <row r="264" ht="12.0" customHeight="1">
      <c r="A264" s="413"/>
      <c r="B264" s="413"/>
      <c r="C264" s="413"/>
      <c r="D264" s="414"/>
      <c r="E264" s="414"/>
      <c r="F264" s="414"/>
      <c r="G264" s="414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</row>
    <row r="265" ht="12.0" customHeight="1">
      <c r="A265" s="413"/>
      <c r="B265" s="413"/>
      <c r="C265" s="413"/>
      <c r="D265" s="414"/>
      <c r="E265" s="414"/>
      <c r="F265" s="414"/>
      <c r="G265" s="414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  <c r="T265" s="413"/>
      <c r="U265" s="413"/>
      <c r="V265" s="413"/>
      <c r="W265" s="413"/>
      <c r="X265" s="413"/>
      <c r="Y265" s="413"/>
      <c r="Z265" s="413"/>
    </row>
    <row r="266" ht="12.0" customHeight="1">
      <c r="A266" s="413"/>
      <c r="B266" s="413"/>
      <c r="C266" s="413"/>
      <c r="D266" s="414"/>
      <c r="E266" s="414"/>
      <c r="F266" s="414"/>
      <c r="G266" s="414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</row>
    <row r="267" ht="12.0" customHeight="1">
      <c r="A267" s="413"/>
      <c r="B267" s="413"/>
      <c r="C267" s="413"/>
      <c r="D267" s="414"/>
      <c r="E267" s="414"/>
      <c r="F267" s="414"/>
      <c r="G267" s="414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  <c r="T267" s="413"/>
      <c r="U267" s="413"/>
      <c r="V267" s="413"/>
      <c r="W267" s="413"/>
      <c r="X267" s="413"/>
      <c r="Y267" s="413"/>
      <c r="Z267" s="413"/>
    </row>
    <row r="268" ht="12.0" customHeight="1">
      <c r="A268" s="413"/>
      <c r="B268" s="413"/>
      <c r="C268" s="413"/>
      <c r="D268" s="414"/>
      <c r="E268" s="414"/>
      <c r="F268" s="414"/>
      <c r="G268" s="414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  <c r="T268" s="413"/>
      <c r="U268" s="413"/>
      <c r="V268" s="413"/>
      <c r="W268" s="413"/>
      <c r="X268" s="413"/>
      <c r="Y268" s="413"/>
      <c r="Z268" s="413"/>
    </row>
    <row r="269" ht="12.0" customHeight="1">
      <c r="A269" s="413"/>
      <c r="B269" s="413"/>
      <c r="C269" s="413"/>
      <c r="D269" s="414"/>
      <c r="E269" s="414"/>
      <c r="F269" s="414"/>
      <c r="G269" s="414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  <c r="T269" s="413"/>
      <c r="U269" s="413"/>
      <c r="V269" s="413"/>
      <c r="W269" s="413"/>
      <c r="X269" s="413"/>
      <c r="Y269" s="413"/>
      <c r="Z269" s="413"/>
    </row>
    <row r="270" ht="12.0" customHeight="1">
      <c r="A270" s="413"/>
      <c r="B270" s="413"/>
      <c r="C270" s="413"/>
      <c r="D270" s="414"/>
      <c r="E270" s="414"/>
      <c r="F270" s="414"/>
      <c r="G270" s="414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413"/>
      <c r="U270" s="413"/>
      <c r="V270" s="413"/>
      <c r="W270" s="413"/>
      <c r="X270" s="413"/>
      <c r="Y270" s="413"/>
      <c r="Z270" s="413"/>
    </row>
    <row r="271" ht="12.0" customHeight="1">
      <c r="A271" s="413"/>
      <c r="B271" s="413"/>
      <c r="C271" s="413"/>
      <c r="D271" s="414"/>
      <c r="E271" s="414"/>
      <c r="F271" s="414"/>
      <c r="G271" s="414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  <c r="T271" s="413"/>
      <c r="U271" s="413"/>
      <c r="V271" s="413"/>
      <c r="W271" s="413"/>
      <c r="X271" s="413"/>
      <c r="Y271" s="413"/>
      <c r="Z271" s="413"/>
    </row>
    <row r="272" ht="12.0" customHeight="1">
      <c r="A272" s="413"/>
      <c r="B272" s="413"/>
      <c r="C272" s="413"/>
      <c r="D272" s="414"/>
      <c r="E272" s="414"/>
      <c r="F272" s="414"/>
      <c r="G272" s="414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3"/>
      <c r="U272" s="413"/>
      <c r="V272" s="413"/>
      <c r="W272" s="413"/>
      <c r="X272" s="413"/>
      <c r="Y272" s="413"/>
      <c r="Z272" s="413"/>
    </row>
    <row r="273" ht="12.0" customHeight="1">
      <c r="A273" s="413"/>
      <c r="B273" s="413"/>
      <c r="C273" s="413"/>
      <c r="D273" s="414"/>
      <c r="E273" s="414"/>
      <c r="F273" s="414"/>
      <c r="G273" s="414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3"/>
      <c r="U273" s="413"/>
      <c r="V273" s="413"/>
      <c r="W273" s="413"/>
      <c r="X273" s="413"/>
      <c r="Y273" s="413"/>
      <c r="Z273" s="413"/>
    </row>
    <row r="274" ht="12.0" customHeight="1">
      <c r="A274" s="413"/>
      <c r="B274" s="413"/>
      <c r="C274" s="413"/>
      <c r="D274" s="414"/>
      <c r="E274" s="414"/>
      <c r="F274" s="414"/>
      <c r="G274" s="414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  <c r="T274" s="413"/>
      <c r="U274" s="413"/>
      <c r="V274" s="413"/>
      <c r="W274" s="413"/>
      <c r="X274" s="413"/>
      <c r="Y274" s="413"/>
      <c r="Z274" s="413"/>
    </row>
    <row r="275" ht="12.0" customHeight="1">
      <c r="A275" s="413"/>
      <c r="B275" s="413"/>
      <c r="C275" s="413"/>
      <c r="D275" s="414"/>
      <c r="E275" s="414"/>
      <c r="F275" s="414"/>
      <c r="G275" s="414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  <c r="T275" s="413"/>
      <c r="U275" s="413"/>
      <c r="V275" s="413"/>
      <c r="W275" s="413"/>
      <c r="X275" s="413"/>
      <c r="Y275" s="413"/>
      <c r="Z275" s="413"/>
    </row>
    <row r="276" ht="12.0" customHeight="1">
      <c r="A276" s="413"/>
      <c r="B276" s="413"/>
      <c r="C276" s="413"/>
      <c r="D276" s="414"/>
      <c r="E276" s="414"/>
      <c r="F276" s="414"/>
      <c r="G276" s="414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  <c r="T276" s="413"/>
      <c r="U276" s="413"/>
      <c r="V276" s="413"/>
      <c r="W276" s="413"/>
      <c r="X276" s="413"/>
      <c r="Y276" s="413"/>
      <c r="Z276" s="413"/>
    </row>
    <row r="277" ht="12.0" customHeight="1">
      <c r="A277" s="413"/>
      <c r="B277" s="413"/>
      <c r="C277" s="413"/>
      <c r="D277" s="414"/>
      <c r="E277" s="414"/>
      <c r="F277" s="414"/>
      <c r="G277" s="414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  <c r="T277" s="413"/>
      <c r="U277" s="413"/>
      <c r="V277" s="413"/>
      <c r="W277" s="413"/>
      <c r="X277" s="413"/>
      <c r="Y277" s="413"/>
      <c r="Z277" s="413"/>
    </row>
    <row r="278" ht="12.0" customHeight="1">
      <c r="A278" s="413"/>
      <c r="B278" s="413"/>
      <c r="C278" s="413"/>
      <c r="D278" s="414"/>
      <c r="E278" s="414"/>
      <c r="F278" s="414"/>
      <c r="G278" s="414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  <c r="T278" s="413"/>
      <c r="U278" s="413"/>
      <c r="V278" s="413"/>
      <c r="W278" s="413"/>
      <c r="X278" s="413"/>
      <c r="Y278" s="413"/>
      <c r="Z278" s="413"/>
    </row>
    <row r="279" ht="12.0" customHeight="1">
      <c r="A279" s="413"/>
      <c r="B279" s="413"/>
      <c r="C279" s="413"/>
      <c r="D279" s="414"/>
      <c r="E279" s="414"/>
      <c r="F279" s="414"/>
      <c r="G279" s="414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  <c r="T279" s="413"/>
      <c r="U279" s="413"/>
      <c r="V279" s="413"/>
      <c r="W279" s="413"/>
      <c r="X279" s="413"/>
      <c r="Y279" s="413"/>
      <c r="Z279" s="413"/>
    </row>
    <row r="280" ht="12.0" customHeight="1">
      <c r="A280" s="413"/>
      <c r="B280" s="413"/>
      <c r="C280" s="413"/>
      <c r="D280" s="414"/>
      <c r="E280" s="414"/>
      <c r="F280" s="414"/>
      <c r="G280" s="414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</row>
    <row r="281" ht="12.0" customHeight="1">
      <c r="A281" s="413"/>
      <c r="B281" s="413"/>
      <c r="C281" s="413"/>
      <c r="D281" s="414"/>
      <c r="E281" s="414"/>
      <c r="F281" s="414"/>
      <c r="G281" s="414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  <c r="T281" s="413"/>
      <c r="U281" s="413"/>
      <c r="V281" s="413"/>
      <c r="W281" s="413"/>
      <c r="X281" s="413"/>
      <c r="Y281" s="413"/>
      <c r="Z281" s="413"/>
    </row>
    <row r="282" ht="12.0" customHeight="1">
      <c r="A282" s="413"/>
      <c r="B282" s="413"/>
      <c r="C282" s="413"/>
      <c r="D282" s="414"/>
      <c r="E282" s="414"/>
      <c r="F282" s="414"/>
      <c r="G282" s="414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</row>
    <row r="283" ht="12.0" customHeight="1">
      <c r="A283" s="413"/>
      <c r="B283" s="413"/>
      <c r="C283" s="413"/>
      <c r="D283" s="414"/>
      <c r="E283" s="414"/>
      <c r="F283" s="414"/>
      <c r="G283" s="414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  <c r="T283" s="413"/>
      <c r="U283" s="413"/>
      <c r="V283" s="413"/>
      <c r="W283" s="413"/>
      <c r="X283" s="413"/>
      <c r="Y283" s="413"/>
      <c r="Z283" s="413"/>
    </row>
    <row r="284" ht="12.0" customHeight="1">
      <c r="A284" s="413"/>
      <c r="B284" s="413"/>
      <c r="C284" s="413"/>
      <c r="D284" s="414"/>
      <c r="E284" s="414"/>
      <c r="F284" s="414"/>
      <c r="G284" s="414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  <c r="T284" s="413"/>
      <c r="U284" s="413"/>
      <c r="V284" s="413"/>
      <c r="W284" s="413"/>
      <c r="X284" s="413"/>
      <c r="Y284" s="413"/>
      <c r="Z284" s="413"/>
    </row>
    <row r="285" ht="12.0" customHeight="1">
      <c r="A285" s="413"/>
      <c r="B285" s="413"/>
      <c r="C285" s="413"/>
      <c r="D285" s="414"/>
      <c r="E285" s="414"/>
      <c r="F285" s="414"/>
      <c r="G285" s="414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  <c r="T285" s="413"/>
      <c r="U285" s="413"/>
      <c r="V285" s="413"/>
      <c r="W285" s="413"/>
      <c r="X285" s="413"/>
      <c r="Y285" s="413"/>
      <c r="Z285" s="413"/>
    </row>
    <row r="286" ht="12.0" customHeight="1">
      <c r="A286" s="413"/>
      <c r="B286" s="413"/>
      <c r="C286" s="413"/>
      <c r="D286" s="414"/>
      <c r="E286" s="414"/>
      <c r="F286" s="414"/>
      <c r="G286" s="414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  <c r="T286" s="413"/>
      <c r="U286" s="413"/>
      <c r="V286" s="413"/>
      <c r="W286" s="413"/>
      <c r="X286" s="413"/>
      <c r="Y286" s="413"/>
      <c r="Z286" s="413"/>
    </row>
    <row r="287" ht="12.0" customHeight="1">
      <c r="A287" s="413"/>
      <c r="B287" s="413"/>
      <c r="C287" s="413"/>
      <c r="D287" s="414"/>
      <c r="E287" s="414"/>
      <c r="F287" s="414"/>
      <c r="G287" s="414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  <c r="T287" s="413"/>
      <c r="U287" s="413"/>
      <c r="V287" s="413"/>
      <c r="W287" s="413"/>
      <c r="X287" s="413"/>
      <c r="Y287" s="413"/>
      <c r="Z287" s="413"/>
    </row>
    <row r="288" ht="12.0" customHeight="1">
      <c r="A288" s="413"/>
      <c r="B288" s="413"/>
      <c r="C288" s="413"/>
      <c r="D288" s="414"/>
      <c r="E288" s="414"/>
      <c r="F288" s="414"/>
      <c r="G288" s="414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  <c r="W288" s="413"/>
      <c r="X288" s="413"/>
      <c r="Y288" s="413"/>
      <c r="Z288" s="413"/>
    </row>
    <row r="289" ht="12.0" customHeight="1">
      <c r="A289" s="413"/>
      <c r="B289" s="413"/>
      <c r="C289" s="413"/>
      <c r="D289" s="414"/>
      <c r="E289" s="414"/>
      <c r="F289" s="414"/>
      <c r="G289" s="414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  <c r="T289" s="413"/>
      <c r="U289" s="413"/>
      <c r="V289" s="413"/>
      <c r="W289" s="413"/>
      <c r="X289" s="413"/>
      <c r="Y289" s="413"/>
      <c r="Z289" s="413"/>
    </row>
    <row r="290" ht="12.0" customHeight="1">
      <c r="A290" s="413"/>
      <c r="B290" s="413"/>
      <c r="C290" s="413"/>
      <c r="D290" s="414"/>
      <c r="E290" s="414"/>
      <c r="F290" s="414"/>
      <c r="G290" s="414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  <c r="T290" s="413"/>
      <c r="U290" s="413"/>
      <c r="V290" s="413"/>
      <c r="W290" s="413"/>
      <c r="X290" s="413"/>
      <c r="Y290" s="413"/>
      <c r="Z290" s="413"/>
    </row>
    <row r="291" ht="12.0" customHeight="1">
      <c r="A291" s="413"/>
      <c r="B291" s="413"/>
      <c r="C291" s="413"/>
      <c r="D291" s="414"/>
      <c r="E291" s="414"/>
      <c r="F291" s="414"/>
      <c r="G291" s="414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  <c r="T291" s="413"/>
      <c r="U291" s="413"/>
      <c r="V291" s="413"/>
      <c r="W291" s="413"/>
      <c r="X291" s="413"/>
      <c r="Y291" s="413"/>
      <c r="Z291" s="413"/>
    </row>
    <row r="292" ht="12.0" customHeight="1">
      <c r="A292" s="413"/>
      <c r="B292" s="413"/>
      <c r="C292" s="413"/>
      <c r="D292" s="414"/>
      <c r="E292" s="414"/>
      <c r="F292" s="414"/>
      <c r="G292" s="414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  <c r="T292" s="413"/>
      <c r="U292" s="413"/>
      <c r="V292" s="413"/>
      <c r="W292" s="413"/>
      <c r="X292" s="413"/>
      <c r="Y292" s="413"/>
      <c r="Z292" s="413"/>
    </row>
    <row r="293" ht="12.0" customHeight="1">
      <c r="A293" s="413"/>
      <c r="B293" s="413"/>
      <c r="C293" s="413"/>
      <c r="D293" s="414"/>
      <c r="E293" s="414"/>
      <c r="F293" s="414"/>
      <c r="G293" s="414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  <c r="T293" s="413"/>
      <c r="U293" s="413"/>
      <c r="V293" s="413"/>
      <c r="W293" s="413"/>
      <c r="X293" s="413"/>
      <c r="Y293" s="413"/>
      <c r="Z293" s="413"/>
    </row>
    <row r="294" ht="12.0" customHeight="1">
      <c r="A294" s="413"/>
      <c r="B294" s="413"/>
      <c r="C294" s="413"/>
      <c r="D294" s="414"/>
      <c r="E294" s="414"/>
      <c r="F294" s="414"/>
      <c r="G294" s="414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  <c r="T294" s="413"/>
      <c r="U294" s="413"/>
      <c r="V294" s="413"/>
      <c r="W294" s="413"/>
      <c r="X294" s="413"/>
      <c r="Y294" s="413"/>
      <c r="Z294" s="413"/>
    </row>
    <row r="295" ht="12.0" customHeight="1">
      <c r="A295" s="413"/>
      <c r="B295" s="413"/>
      <c r="C295" s="413"/>
      <c r="D295" s="414"/>
      <c r="E295" s="414"/>
      <c r="F295" s="414"/>
      <c r="G295" s="414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  <c r="T295" s="413"/>
      <c r="U295" s="413"/>
      <c r="V295" s="413"/>
      <c r="W295" s="413"/>
      <c r="X295" s="413"/>
      <c r="Y295" s="413"/>
      <c r="Z295" s="413"/>
    </row>
    <row r="296" ht="12.0" customHeight="1">
      <c r="A296" s="413"/>
      <c r="B296" s="413"/>
      <c r="C296" s="413"/>
      <c r="D296" s="414"/>
      <c r="E296" s="414"/>
      <c r="F296" s="414"/>
      <c r="G296" s="414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</row>
    <row r="297" ht="12.0" customHeight="1">
      <c r="A297" s="413"/>
      <c r="B297" s="413"/>
      <c r="C297" s="413"/>
      <c r="D297" s="414"/>
      <c r="E297" s="414"/>
      <c r="F297" s="414"/>
      <c r="G297" s="414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  <c r="T297" s="413"/>
      <c r="U297" s="413"/>
      <c r="V297" s="413"/>
      <c r="W297" s="413"/>
      <c r="X297" s="413"/>
      <c r="Y297" s="413"/>
      <c r="Z297" s="413"/>
    </row>
    <row r="298" ht="12.0" customHeight="1">
      <c r="A298" s="413"/>
      <c r="B298" s="413"/>
      <c r="C298" s="413"/>
      <c r="D298" s="414"/>
      <c r="E298" s="414"/>
      <c r="F298" s="414"/>
      <c r="G298" s="414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  <c r="T298" s="413"/>
      <c r="U298" s="413"/>
      <c r="V298" s="413"/>
      <c r="W298" s="413"/>
      <c r="X298" s="413"/>
      <c r="Y298" s="413"/>
      <c r="Z298" s="413"/>
    </row>
    <row r="299" ht="12.0" customHeight="1">
      <c r="A299" s="413"/>
      <c r="B299" s="413"/>
      <c r="C299" s="413"/>
      <c r="D299" s="414"/>
      <c r="E299" s="414"/>
      <c r="F299" s="414"/>
      <c r="G299" s="414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  <c r="T299" s="413"/>
      <c r="U299" s="413"/>
      <c r="V299" s="413"/>
      <c r="W299" s="413"/>
      <c r="X299" s="413"/>
      <c r="Y299" s="413"/>
      <c r="Z299" s="413"/>
    </row>
    <row r="300" ht="12.0" customHeight="1">
      <c r="A300" s="413"/>
      <c r="B300" s="413"/>
      <c r="C300" s="413"/>
      <c r="D300" s="414"/>
      <c r="E300" s="414"/>
      <c r="F300" s="414"/>
      <c r="G300" s="414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  <c r="T300" s="413"/>
      <c r="U300" s="413"/>
      <c r="V300" s="413"/>
      <c r="W300" s="413"/>
      <c r="X300" s="413"/>
      <c r="Y300" s="413"/>
      <c r="Z300" s="413"/>
    </row>
    <row r="301" ht="12.0" customHeight="1">
      <c r="A301" s="413"/>
      <c r="B301" s="413"/>
      <c r="C301" s="413"/>
      <c r="D301" s="414"/>
      <c r="E301" s="414"/>
      <c r="F301" s="414"/>
      <c r="G301" s="414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</row>
    <row r="302" ht="12.0" customHeight="1">
      <c r="A302" s="413"/>
      <c r="B302" s="413"/>
      <c r="C302" s="413"/>
      <c r="D302" s="414"/>
      <c r="E302" s="414"/>
      <c r="F302" s="414"/>
      <c r="G302" s="414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</row>
    <row r="303" ht="12.0" customHeight="1">
      <c r="A303" s="413"/>
      <c r="B303" s="413"/>
      <c r="C303" s="413"/>
      <c r="D303" s="414"/>
      <c r="E303" s="414"/>
      <c r="F303" s="414"/>
      <c r="G303" s="414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</row>
    <row r="304" ht="12.0" customHeight="1">
      <c r="A304" s="413"/>
      <c r="B304" s="413"/>
      <c r="C304" s="413"/>
      <c r="D304" s="414"/>
      <c r="E304" s="414"/>
      <c r="F304" s="414"/>
      <c r="G304" s="414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  <c r="W304" s="413"/>
      <c r="X304" s="413"/>
      <c r="Y304" s="413"/>
      <c r="Z304" s="413"/>
    </row>
    <row r="305" ht="12.0" customHeight="1">
      <c r="A305" s="413"/>
      <c r="B305" s="413"/>
      <c r="C305" s="413"/>
      <c r="D305" s="414"/>
      <c r="E305" s="414"/>
      <c r="F305" s="414"/>
      <c r="G305" s="414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  <c r="W305" s="413"/>
      <c r="X305" s="413"/>
      <c r="Y305" s="413"/>
      <c r="Z305" s="413"/>
    </row>
    <row r="306" ht="12.0" customHeight="1">
      <c r="A306" s="413"/>
      <c r="B306" s="413"/>
      <c r="C306" s="413"/>
      <c r="D306" s="414"/>
      <c r="E306" s="414"/>
      <c r="F306" s="414"/>
      <c r="G306" s="414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  <c r="T306" s="413"/>
      <c r="U306" s="413"/>
      <c r="V306" s="413"/>
      <c r="W306" s="413"/>
      <c r="X306" s="413"/>
      <c r="Y306" s="413"/>
      <c r="Z306" s="413"/>
    </row>
    <row r="307" ht="12.0" customHeight="1">
      <c r="A307" s="413"/>
      <c r="B307" s="413"/>
      <c r="C307" s="413"/>
      <c r="D307" s="414"/>
      <c r="E307" s="414"/>
      <c r="F307" s="414"/>
      <c r="G307" s="414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  <c r="T307" s="413"/>
      <c r="U307" s="413"/>
      <c r="V307" s="413"/>
      <c r="W307" s="413"/>
      <c r="X307" s="413"/>
      <c r="Y307" s="413"/>
      <c r="Z307" s="413"/>
    </row>
    <row r="308" ht="12.0" customHeight="1">
      <c r="A308" s="413"/>
      <c r="B308" s="413"/>
      <c r="C308" s="413"/>
      <c r="D308" s="414"/>
      <c r="E308" s="414"/>
      <c r="F308" s="414"/>
      <c r="G308" s="414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  <c r="T308" s="413"/>
      <c r="U308" s="413"/>
      <c r="V308" s="413"/>
      <c r="W308" s="413"/>
      <c r="X308" s="413"/>
      <c r="Y308" s="413"/>
      <c r="Z308" s="413"/>
    </row>
    <row r="309" ht="12.0" customHeight="1">
      <c r="A309" s="413"/>
      <c r="B309" s="413"/>
      <c r="C309" s="413"/>
      <c r="D309" s="414"/>
      <c r="E309" s="414"/>
      <c r="F309" s="414"/>
      <c r="G309" s="414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413"/>
      <c r="W309" s="413"/>
      <c r="X309" s="413"/>
      <c r="Y309" s="413"/>
      <c r="Z309" s="413"/>
    </row>
    <row r="310" ht="12.0" customHeight="1">
      <c r="A310" s="413"/>
      <c r="B310" s="413"/>
      <c r="C310" s="413"/>
      <c r="D310" s="414"/>
      <c r="E310" s="414"/>
      <c r="F310" s="414"/>
      <c r="G310" s="414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413"/>
      <c r="W310" s="413"/>
      <c r="X310" s="413"/>
      <c r="Y310" s="413"/>
      <c r="Z310" s="413"/>
    </row>
    <row r="311" ht="12.0" customHeight="1">
      <c r="A311" s="413"/>
      <c r="B311" s="413"/>
      <c r="C311" s="413"/>
      <c r="D311" s="414"/>
      <c r="E311" s="414"/>
      <c r="F311" s="414"/>
      <c r="G311" s="414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413"/>
      <c r="W311" s="413"/>
      <c r="X311" s="413"/>
      <c r="Y311" s="413"/>
      <c r="Z311" s="413"/>
    </row>
    <row r="312" ht="12.0" customHeight="1">
      <c r="A312" s="413"/>
      <c r="B312" s="413"/>
      <c r="C312" s="413"/>
      <c r="D312" s="414"/>
      <c r="E312" s="414"/>
      <c r="F312" s="414"/>
      <c r="G312" s="414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413"/>
      <c r="W312" s="413"/>
      <c r="X312" s="413"/>
      <c r="Y312" s="413"/>
      <c r="Z312" s="413"/>
    </row>
    <row r="313" ht="12.0" customHeight="1">
      <c r="A313" s="413"/>
      <c r="B313" s="413"/>
      <c r="C313" s="413"/>
      <c r="D313" s="414"/>
      <c r="E313" s="414"/>
      <c r="F313" s="414"/>
      <c r="G313" s="414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413"/>
      <c r="W313" s="413"/>
      <c r="X313" s="413"/>
      <c r="Y313" s="413"/>
      <c r="Z313" s="413"/>
    </row>
    <row r="314" ht="12.0" customHeight="1">
      <c r="A314" s="413"/>
      <c r="B314" s="413"/>
      <c r="C314" s="413"/>
      <c r="D314" s="414"/>
      <c r="E314" s="414"/>
      <c r="F314" s="414"/>
      <c r="G314" s="414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413"/>
      <c r="W314" s="413"/>
      <c r="X314" s="413"/>
      <c r="Y314" s="413"/>
      <c r="Z314" s="413"/>
    </row>
    <row r="315" ht="12.0" customHeight="1">
      <c r="A315" s="413"/>
      <c r="B315" s="413"/>
      <c r="C315" s="413"/>
      <c r="D315" s="414"/>
      <c r="E315" s="414"/>
      <c r="F315" s="414"/>
      <c r="G315" s="414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413"/>
      <c r="W315" s="413"/>
      <c r="X315" s="413"/>
      <c r="Y315" s="413"/>
      <c r="Z315" s="413"/>
    </row>
    <row r="316" ht="12.0" customHeight="1">
      <c r="A316" s="413"/>
      <c r="B316" s="413"/>
      <c r="C316" s="413"/>
      <c r="D316" s="414"/>
      <c r="E316" s="414"/>
      <c r="F316" s="414"/>
      <c r="G316" s="414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413"/>
      <c r="W316" s="413"/>
      <c r="X316" s="413"/>
      <c r="Y316" s="413"/>
      <c r="Z316" s="413"/>
    </row>
    <row r="317" ht="12.0" customHeight="1">
      <c r="A317" s="413"/>
      <c r="B317" s="413"/>
      <c r="C317" s="413"/>
      <c r="D317" s="414"/>
      <c r="E317" s="414"/>
      <c r="F317" s="414"/>
      <c r="G317" s="414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413"/>
      <c r="W317" s="413"/>
      <c r="X317" s="413"/>
      <c r="Y317" s="413"/>
      <c r="Z317" s="413"/>
    </row>
    <row r="318" ht="12.0" customHeight="1">
      <c r="A318" s="413"/>
      <c r="B318" s="413"/>
      <c r="C318" s="413"/>
      <c r="D318" s="414"/>
      <c r="E318" s="414"/>
      <c r="F318" s="414"/>
      <c r="G318" s="414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413"/>
      <c r="W318" s="413"/>
      <c r="X318" s="413"/>
      <c r="Y318" s="413"/>
      <c r="Z318" s="413"/>
    </row>
    <row r="319" ht="12.0" customHeight="1">
      <c r="A319" s="413"/>
      <c r="B319" s="413"/>
      <c r="C319" s="413"/>
      <c r="D319" s="414"/>
      <c r="E319" s="414"/>
      <c r="F319" s="414"/>
      <c r="G319" s="414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413"/>
      <c r="W319" s="413"/>
      <c r="X319" s="413"/>
      <c r="Y319" s="413"/>
      <c r="Z319" s="413"/>
    </row>
    <row r="320" ht="12.0" customHeight="1">
      <c r="A320" s="413"/>
      <c r="B320" s="413"/>
      <c r="C320" s="413"/>
      <c r="D320" s="414"/>
      <c r="E320" s="414"/>
      <c r="F320" s="414"/>
      <c r="G320" s="414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413"/>
      <c r="W320" s="413"/>
      <c r="X320" s="413"/>
      <c r="Y320" s="413"/>
      <c r="Z320" s="413"/>
    </row>
    <row r="321" ht="12.0" customHeight="1">
      <c r="A321" s="413"/>
      <c r="B321" s="413"/>
      <c r="C321" s="413"/>
      <c r="D321" s="414"/>
      <c r="E321" s="414"/>
      <c r="F321" s="414"/>
      <c r="G321" s="414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413"/>
      <c r="W321" s="413"/>
      <c r="X321" s="413"/>
      <c r="Y321" s="413"/>
      <c r="Z321" s="413"/>
    </row>
    <row r="322" ht="12.0" customHeight="1">
      <c r="A322" s="413"/>
      <c r="B322" s="413"/>
      <c r="C322" s="413"/>
      <c r="D322" s="414"/>
      <c r="E322" s="414"/>
      <c r="F322" s="414"/>
      <c r="G322" s="414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413"/>
      <c r="W322" s="413"/>
      <c r="X322" s="413"/>
      <c r="Y322" s="413"/>
      <c r="Z322" s="413"/>
    </row>
    <row r="323" ht="12.0" customHeight="1">
      <c r="A323" s="413"/>
      <c r="B323" s="413"/>
      <c r="C323" s="413"/>
      <c r="D323" s="414"/>
      <c r="E323" s="414"/>
      <c r="F323" s="414"/>
      <c r="G323" s="414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413"/>
      <c r="W323" s="413"/>
      <c r="X323" s="413"/>
      <c r="Y323" s="413"/>
      <c r="Z323" s="413"/>
    </row>
    <row r="324" ht="12.0" customHeight="1">
      <c r="A324" s="413"/>
      <c r="B324" s="413"/>
      <c r="C324" s="413"/>
      <c r="D324" s="414"/>
      <c r="E324" s="414"/>
      <c r="F324" s="414"/>
      <c r="G324" s="414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413"/>
      <c r="W324" s="413"/>
      <c r="X324" s="413"/>
      <c r="Y324" s="413"/>
      <c r="Z324" s="413"/>
    </row>
    <row r="325" ht="12.0" customHeight="1">
      <c r="A325" s="413"/>
      <c r="B325" s="413"/>
      <c r="C325" s="413"/>
      <c r="D325" s="414"/>
      <c r="E325" s="414"/>
      <c r="F325" s="414"/>
      <c r="G325" s="414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413"/>
      <c r="W325" s="413"/>
      <c r="X325" s="413"/>
      <c r="Y325" s="413"/>
      <c r="Z325" s="413"/>
    </row>
    <row r="326" ht="12.0" customHeight="1">
      <c r="A326" s="413"/>
      <c r="B326" s="413"/>
      <c r="C326" s="413"/>
      <c r="D326" s="414"/>
      <c r="E326" s="414"/>
      <c r="F326" s="414"/>
      <c r="G326" s="414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413"/>
      <c r="W326" s="413"/>
      <c r="X326" s="413"/>
      <c r="Y326" s="413"/>
      <c r="Z326" s="413"/>
    </row>
    <row r="327" ht="12.0" customHeight="1">
      <c r="A327" s="413"/>
      <c r="B327" s="413"/>
      <c r="C327" s="413"/>
      <c r="D327" s="414"/>
      <c r="E327" s="414"/>
      <c r="F327" s="414"/>
      <c r="G327" s="414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  <c r="T327" s="413"/>
      <c r="U327" s="413"/>
      <c r="V327" s="413"/>
      <c r="W327" s="413"/>
      <c r="X327" s="413"/>
      <c r="Y327" s="413"/>
      <c r="Z327" s="413"/>
    </row>
    <row r="328" ht="12.0" customHeight="1">
      <c r="A328" s="413"/>
      <c r="B328" s="413"/>
      <c r="C328" s="413"/>
      <c r="D328" s="414"/>
      <c r="E328" s="414"/>
      <c r="F328" s="414"/>
      <c r="G328" s="414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  <c r="T328" s="413"/>
      <c r="U328" s="413"/>
      <c r="V328" s="413"/>
      <c r="W328" s="413"/>
      <c r="X328" s="413"/>
      <c r="Y328" s="413"/>
      <c r="Z328" s="413"/>
    </row>
    <row r="329" ht="12.0" customHeight="1">
      <c r="A329" s="413"/>
      <c r="B329" s="413"/>
      <c r="C329" s="413"/>
      <c r="D329" s="414"/>
      <c r="E329" s="414"/>
      <c r="F329" s="414"/>
      <c r="G329" s="414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  <c r="T329" s="413"/>
      <c r="U329" s="413"/>
      <c r="V329" s="413"/>
      <c r="W329" s="413"/>
      <c r="X329" s="413"/>
      <c r="Y329" s="413"/>
      <c r="Z329" s="413"/>
    </row>
    <row r="330" ht="12.0" customHeight="1">
      <c r="A330" s="413"/>
      <c r="B330" s="413"/>
      <c r="C330" s="413"/>
      <c r="D330" s="414"/>
      <c r="E330" s="414"/>
      <c r="F330" s="414"/>
      <c r="G330" s="414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  <c r="W330" s="413"/>
      <c r="X330" s="413"/>
      <c r="Y330" s="413"/>
      <c r="Z330" s="413"/>
    </row>
    <row r="331" ht="12.0" customHeight="1">
      <c r="A331" s="413"/>
      <c r="B331" s="413"/>
      <c r="C331" s="413"/>
      <c r="D331" s="414"/>
      <c r="E331" s="414"/>
      <c r="F331" s="414"/>
      <c r="G331" s="414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</row>
    <row r="332" ht="12.0" customHeight="1">
      <c r="A332" s="413"/>
      <c r="B332" s="413"/>
      <c r="C332" s="413"/>
      <c r="D332" s="414"/>
      <c r="E332" s="414"/>
      <c r="F332" s="414"/>
      <c r="G332" s="414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  <c r="T332" s="413"/>
      <c r="U332" s="413"/>
      <c r="V332" s="413"/>
      <c r="W332" s="413"/>
      <c r="X332" s="413"/>
      <c r="Y332" s="413"/>
      <c r="Z332" s="413"/>
    </row>
    <row r="333" ht="12.0" customHeight="1">
      <c r="A333" s="413"/>
      <c r="B333" s="413"/>
      <c r="C333" s="413"/>
      <c r="D333" s="414"/>
      <c r="E333" s="414"/>
      <c r="F333" s="414"/>
      <c r="G333" s="414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  <c r="T333" s="413"/>
      <c r="U333" s="413"/>
      <c r="V333" s="413"/>
      <c r="W333" s="413"/>
      <c r="X333" s="413"/>
      <c r="Y333" s="413"/>
      <c r="Z333" s="413"/>
    </row>
    <row r="334" ht="12.0" customHeight="1">
      <c r="A334" s="413"/>
      <c r="B334" s="413"/>
      <c r="C334" s="413"/>
      <c r="D334" s="414"/>
      <c r="E334" s="414"/>
      <c r="F334" s="414"/>
      <c r="G334" s="414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  <c r="T334" s="413"/>
      <c r="U334" s="413"/>
      <c r="V334" s="413"/>
      <c r="W334" s="413"/>
      <c r="X334" s="413"/>
      <c r="Y334" s="413"/>
      <c r="Z334" s="413"/>
    </row>
    <row r="335" ht="12.0" customHeight="1">
      <c r="A335" s="413"/>
      <c r="B335" s="413"/>
      <c r="C335" s="413"/>
      <c r="D335" s="414"/>
      <c r="E335" s="414"/>
      <c r="F335" s="414"/>
      <c r="G335" s="414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  <c r="T335" s="413"/>
      <c r="U335" s="413"/>
      <c r="V335" s="413"/>
      <c r="W335" s="413"/>
      <c r="X335" s="413"/>
      <c r="Y335" s="413"/>
      <c r="Z335" s="413"/>
    </row>
    <row r="336" ht="12.0" customHeight="1">
      <c r="A336" s="413"/>
      <c r="B336" s="413"/>
      <c r="C336" s="413"/>
      <c r="D336" s="414"/>
      <c r="E336" s="414"/>
      <c r="F336" s="414"/>
      <c r="G336" s="414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  <c r="T336" s="413"/>
      <c r="U336" s="413"/>
      <c r="V336" s="413"/>
      <c r="W336" s="413"/>
      <c r="X336" s="413"/>
      <c r="Y336" s="413"/>
      <c r="Z336" s="413"/>
    </row>
    <row r="337" ht="12.0" customHeight="1">
      <c r="A337" s="413"/>
      <c r="B337" s="413"/>
      <c r="C337" s="413"/>
      <c r="D337" s="414"/>
      <c r="E337" s="414"/>
      <c r="F337" s="414"/>
      <c r="G337" s="414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  <c r="T337" s="413"/>
      <c r="U337" s="413"/>
      <c r="V337" s="413"/>
      <c r="W337" s="413"/>
      <c r="X337" s="413"/>
      <c r="Y337" s="413"/>
      <c r="Z337" s="413"/>
    </row>
    <row r="338" ht="12.0" customHeight="1">
      <c r="A338" s="413"/>
      <c r="B338" s="413"/>
      <c r="C338" s="413"/>
      <c r="D338" s="414"/>
      <c r="E338" s="414"/>
      <c r="F338" s="414"/>
      <c r="G338" s="414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</row>
    <row r="339" ht="12.0" customHeight="1">
      <c r="A339" s="413"/>
      <c r="B339" s="413"/>
      <c r="C339" s="413"/>
      <c r="D339" s="414"/>
      <c r="E339" s="414"/>
      <c r="F339" s="414"/>
      <c r="G339" s="414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  <c r="T339" s="413"/>
      <c r="U339" s="413"/>
      <c r="V339" s="413"/>
      <c r="W339" s="413"/>
      <c r="X339" s="413"/>
      <c r="Y339" s="413"/>
      <c r="Z339" s="413"/>
    </row>
    <row r="340" ht="12.0" customHeight="1">
      <c r="A340" s="413"/>
      <c r="B340" s="413"/>
      <c r="C340" s="413"/>
      <c r="D340" s="414"/>
      <c r="E340" s="414"/>
      <c r="F340" s="414"/>
      <c r="G340" s="414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  <c r="T340" s="413"/>
      <c r="U340" s="413"/>
      <c r="V340" s="413"/>
      <c r="W340" s="413"/>
      <c r="X340" s="413"/>
      <c r="Y340" s="413"/>
      <c r="Z340" s="413"/>
    </row>
    <row r="341" ht="12.0" customHeight="1">
      <c r="A341" s="413"/>
      <c r="B341" s="413"/>
      <c r="C341" s="413"/>
      <c r="D341" s="414"/>
      <c r="E341" s="414"/>
      <c r="F341" s="414"/>
      <c r="G341" s="414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  <c r="T341" s="413"/>
      <c r="U341" s="413"/>
      <c r="V341" s="413"/>
      <c r="W341" s="413"/>
      <c r="X341" s="413"/>
      <c r="Y341" s="413"/>
      <c r="Z341" s="413"/>
    </row>
    <row r="342" ht="12.0" customHeight="1">
      <c r="A342" s="413"/>
      <c r="B342" s="413"/>
      <c r="C342" s="413"/>
      <c r="D342" s="414"/>
      <c r="E342" s="414"/>
      <c r="F342" s="414"/>
      <c r="G342" s="414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</row>
    <row r="343" ht="12.0" customHeight="1">
      <c r="A343" s="413"/>
      <c r="B343" s="413"/>
      <c r="C343" s="413"/>
      <c r="D343" s="414"/>
      <c r="E343" s="414"/>
      <c r="F343" s="414"/>
      <c r="G343" s="414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  <c r="T343" s="413"/>
      <c r="U343" s="413"/>
      <c r="V343" s="413"/>
      <c r="W343" s="413"/>
      <c r="X343" s="413"/>
      <c r="Y343" s="413"/>
      <c r="Z343" s="413"/>
    </row>
    <row r="344" ht="12.0" customHeight="1">
      <c r="A344" s="413"/>
      <c r="B344" s="413"/>
      <c r="C344" s="413"/>
      <c r="D344" s="414"/>
      <c r="E344" s="414"/>
      <c r="F344" s="414"/>
      <c r="G344" s="414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  <c r="T344" s="413"/>
      <c r="U344" s="413"/>
      <c r="V344" s="413"/>
      <c r="W344" s="413"/>
      <c r="X344" s="413"/>
      <c r="Y344" s="413"/>
      <c r="Z344" s="413"/>
    </row>
    <row r="345" ht="12.0" customHeight="1">
      <c r="A345" s="413"/>
      <c r="B345" s="413"/>
      <c r="C345" s="413"/>
      <c r="D345" s="414"/>
      <c r="E345" s="414"/>
      <c r="F345" s="414"/>
      <c r="G345" s="414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  <c r="T345" s="413"/>
      <c r="U345" s="413"/>
      <c r="V345" s="413"/>
      <c r="W345" s="413"/>
      <c r="X345" s="413"/>
      <c r="Y345" s="413"/>
      <c r="Z345" s="413"/>
    </row>
    <row r="346" ht="12.0" customHeight="1">
      <c r="A346" s="413"/>
      <c r="B346" s="413"/>
      <c r="C346" s="413"/>
      <c r="D346" s="414"/>
      <c r="E346" s="414"/>
      <c r="F346" s="414"/>
      <c r="G346" s="414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  <c r="T346" s="413"/>
      <c r="U346" s="413"/>
      <c r="V346" s="413"/>
      <c r="W346" s="413"/>
      <c r="X346" s="413"/>
      <c r="Y346" s="413"/>
      <c r="Z346" s="413"/>
    </row>
    <row r="347" ht="12.0" customHeight="1">
      <c r="A347" s="413"/>
      <c r="B347" s="413"/>
      <c r="C347" s="413"/>
      <c r="D347" s="414"/>
      <c r="E347" s="414"/>
      <c r="F347" s="414"/>
      <c r="G347" s="414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  <c r="T347" s="413"/>
      <c r="U347" s="413"/>
      <c r="V347" s="413"/>
      <c r="W347" s="413"/>
      <c r="X347" s="413"/>
      <c r="Y347" s="413"/>
      <c r="Z347" s="413"/>
    </row>
    <row r="348" ht="12.0" customHeight="1">
      <c r="A348" s="413"/>
      <c r="B348" s="413"/>
      <c r="C348" s="413"/>
      <c r="D348" s="414"/>
      <c r="E348" s="414"/>
      <c r="F348" s="414"/>
      <c r="G348" s="414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  <c r="T348" s="413"/>
      <c r="U348" s="413"/>
      <c r="V348" s="413"/>
      <c r="W348" s="413"/>
      <c r="X348" s="413"/>
      <c r="Y348" s="413"/>
      <c r="Z348" s="413"/>
    </row>
    <row r="349" ht="12.0" customHeight="1">
      <c r="A349" s="413"/>
      <c r="B349" s="413"/>
      <c r="C349" s="413"/>
      <c r="D349" s="414"/>
      <c r="E349" s="414"/>
      <c r="F349" s="414"/>
      <c r="G349" s="414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  <c r="T349" s="413"/>
      <c r="U349" s="413"/>
      <c r="V349" s="413"/>
      <c r="W349" s="413"/>
      <c r="X349" s="413"/>
      <c r="Y349" s="413"/>
      <c r="Z349" s="413"/>
    </row>
    <row r="350" ht="12.0" customHeight="1">
      <c r="A350" s="413"/>
      <c r="B350" s="413"/>
      <c r="C350" s="413"/>
      <c r="D350" s="414"/>
      <c r="E350" s="414"/>
      <c r="F350" s="414"/>
      <c r="G350" s="414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  <c r="T350" s="413"/>
      <c r="U350" s="413"/>
      <c r="V350" s="413"/>
      <c r="W350" s="413"/>
      <c r="X350" s="413"/>
      <c r="Y350" s="413"/>
      <c r="Z350" s="413"/>
    </row>
    <row r="351" ht="12.0" customHeight="1">
      <c r="A351" s="413"/>
      <c r="B351" s="413"/>
      <c r="C351" s="413"/>
      <c r="D351" s="414"/>
      <c r="E351" s="414"/>
      <c r="F351" s="414"/>
      <c r="G351" s="414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</row>
    <row r="352" ht="12.0" customHeight="1">
      <c r="A352" s="413"/>
      <c r="B352" s="413"/>
      <c r="C352" s="413"/>
      <c r="D352" s="414"/>
      <c r="E352" s="414"/>
      <c r="F352" s="414"/>
      <c r="G352" s="414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  <c r="T352" s="413"/>
      <c r="U352" s="413"/>
      <c r="V352" s="413"/>
      <c r="W352" s="413"/>
      <c r="X352" s="413"/>
      <c r="Y352" s="413"/>
      <c r="Z352" s="413"/>
    </row>
    <row r="353" ht="12.0" customHeight="1">
      <c r="A353" s="413"/>
      <c r="B353" s="413"/>
      <c r="C353" s="413"/>
      <c r="D353" s="414"/>
      <c r="E353" s="414"/>
      <c r="F353" s="414"/>
      <c r="G353" s="414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  <c r="T353" s="413"/>
      <c r="U353" s="413"/>
      <c r="V353" s="413"/>
      <c r="W353" s="413"/>
      <c r="X353" s="413"/>
      <c r="Y353" s="413"/>
      <c r="Z353" s="413"/>
    </row>
    <row r="354" ht="12.0" customHeight="1">
      <c r="A354" s="413"/>
      <c r="B354" s="413"/>
      <c r="C354" s="413"/>
      <c r="D354" s="414"/>
      <c r="E354" s="414"/>
      <c r="F354" s="414"/>
      <c r="G354" s="414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  <c r="T354" s="413"/>
      <c r="U354" s="413"/>
      <c r="V354" s="413"/>
      <c r="W354" s="413"/>
      <c r="X354" s="413"/>
      <c r="Y354" s="413"/>
      <c r="Z354" s="413"/>
    </row>
    <row r="355" ht="12.0" customHeight="1">
      <c r="A355" s="413"/>
      <c r="B355" s="413"/>
      <c r="C355" s="413"/>
      <c r="D355" s="414"/>
      <c r="E355" s="414"/>
      <c r="F355" s="414"/>
      <c r="G355" s="414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  <c r="T355" s="413"/>
      <c r="U355" s="413"/>
      <c r="V355" s="413"/>
      <c r="W355" s="413"/>
      <c r="X355" s="413"/>
      <c r="Y355" s="413"/>
      <c r="Z355" s="413"/>
    </row>
    <row r="356" ht="12.0" customHeight="1">
      <c r="A356" s="413"/>
      <c r="B356" s="413"/>
      <c r="C356" s="413"/>
      <c r="D356" s="414"/>
      <c r="E356" s="414"/>
      <c r="F356" s="414"/>
      <c r="G356" s="414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  <c r="T356" s="413"/>
      <c r="U356" s="413"/>
      <c r="V356" s="413"/>
      <c r="W356" s="413"/>
      <c r="X356" s="413"/>
      <c r="Y356" s="413"/>
      <c r="Z356" s="413"/>
    </row>
    <row r="357" ht="12.0" customHeight="1">
      <c r="A357" s="413"/>
      <c r="B357" s="413"/>
      <c r="C357" s="413"/>
      <c r="D357" s="414"/>
      <c r="E357" s="414"/>
      <c r="F357" s="414"/>
      <c r="G357" s="414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  <c r="T357" s="413"/>
      <c r="U357" s="413"/>
      <c r="V357" s="413"/>
      <c r="W357" s="413"/>
      <c r="X357" s="413"/>
      <c r="Y357" s="413"/>
      <c r="Z357" s="413"/>
    </row>
    <row r="358" ht="12.0" customHeight="1">
      <c r="A358" s="413"/>
      <c r="B358" s="413"/>
      <c r="C358" s="413"/>
      <c r="D358" s="414"/>
      <c r="E358" s="414"/>
      <c r="F358" s="414"/>
      <c r="G358" s="414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  <c r="T358" s="413"/>
      <c r="U358" s="413"/>
      <c r="V358" s="413"/>
      <c r="W358" s="413"/>
      <c r="X358" s="413"/>
      <c r="Y358" s="413"/>
      <c r="Z358" s="413"/>
    </row>
    <row r="359" ht="12.0" customHeight="1">
      <c r="A359" s="413"/>
      <c r="B359" s="413"/>
      <c r="C359" s="413"/>
      <c r="D359" s="414"/>
      <c r="E359" s="414"/>
      <c r="F359" s="414"/>
      <c r="G359" s="414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  <c r="T359" s="413"/>
      <c r="U359" s="413"/>
      <c r="V359" s="413"/>
      <c r="W359" s="413"/>
      <c r="X359" s="413"/>
      <c r="Y359" s="413"/>
      <c r="Z359" s="413"/>
    </row>
    <row r="360" ht="12.0" customHeight="1">
      <c r="A360" s="413"/>
      <c r="B360" s="413"/>
      <c r="C360" s="413"/>
      <c r="D360" s="414"/>
      <c r="E360" s="414"/>
      <c r="F360" s="414"/>
      <c r="G360" s="414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  <c r="T360" s="413"/>
      <c r="U360" s="413"/>
      <c r="V360" s="413"/>
      <c r="W360" s="413"/>
      <c r="X360" s="413"/>
      <c r="Y360" s="413"/>
      <c r="Z360" s="413"/>
    </row>
    <row r="361" ht="12.0" customHeight="1">
      <c r="A361" s="413"/>
      <c r="B361" s="413"/>
      <c r="C361" s="413"/>
      <c r="D361" s="414"/>
      <c r="E361" s="414"/>
      <c r="F361" s="414"/>
      <c r="G361" s="414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  <c r="T361" s="413"/>
      <c r="U361" s="413"/>
      <c r="V361" s="413"/>
      <c r="W361" s="413"/>
      <c r="X361" s="413"/>
      <c r="Y361" s="413"/>
      <c r="Z361" s="413"/>
    </row>
    <row r="362" ht="12.0" customHeight="1">
      <c r="A362" s="413"/>
      <c r="B362" s="413"/>
      <c r="C362" s="413"/>
      <c r="D362" s="414"/>
      <c r="E362" s="414"/>
      <c r="F362" s="414"/>
      <c r="G362" s="414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  <c r="T362" s="413"/>
      <c r="U362" s="413"/>
      <c r="V362" s="413"/>
      <c r="W362" s="413"/>
      <c r="X362" s="413"/>
      <c r="Y362" s="413"/>
      <c r="Z362" s="413"/>
    </row>
    <row r="363" ht="12.0" customHeight="1">
      <c r="A363" s="413"/>
      <c r="B363" s="413"/>
      <c r="C363" s="413"/>
      <c r="D363" s="414"/>
      <c r="E363" s="414"/>
      <c r="F363" s="414"/>
      <c r="G363" s="414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  <c r="T363" s="413"/>
      <c r="U363" s="413"/>
      <c r="V363" s="413"/>
      <c r="W363" s="413"/>
      <c r="X363" s="413"/>
      <c r="Y363" s="413"/>
      <c r="Z363" s="413"/>
    </row>
    <row r="364" ht="12.0" customHeight="1">
      <c r="A364" s="413"/>
      <c r="B364" s="413"/>
      <c r="C364" s="413"/>
      <c r="D364" s="414"/>
      <c r="E364" s="414"/>
      <c r="F364" s="414"/>
      <c r="G364" s="414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  <c r="T364" s="413"/>
      <c r="U364" s="413"/>
      <c r="V364" s="413"/>
      <c r="W364" s="413"/>
      <c r="X364" s="413"/>
      <c r="Y364" s="413"/>
      <c r="Z364" s="413"/>
    </row>
    <row r="365" ht="12.0" customHeight="1">
      <c r="A365" s="413"/>
      <c r="B365" s="413"/>
      <c r="C365" s="413"/>
      <c r="D365" s="414"/>
      <c r="E365" s="414"/>
      <c r="F365" s="414"/>
      <c r="G365" s="414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  <c r="T365" s="413"/>
      <c r="U365" s="413"/>
      <c r="V365" s="413"/>
      <c r="W365" s="413"/>
      <c r="X365" s="413"/>
      <c r="Y365" s="413"/>
      <c r="Z365" s="413"/>
    </row>
    <row r="366" ht="12.0" customHeight="1">
      <c r="A366" s="413"/>
      <c r="B366" s="413"/>
      <c r="C366" s="413"/>
      <c r="D366" s="414"/>
      <c r="E366" s="414"/>
      <c r="F366" s="414"/>
      <c r="G366" s="414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  <c r="T366" s="413"/>
      <c r="U366" s="413"/>
      <c r="V366" s="413"/>
      <c r="W366" s="413"/>
      <c r="X366" s="413"/>
      <c r="Y366" s="413"/>
      <c r="Z366" s="413"/>
    </row>
    <row r="367" ht="12.0" customHeight="1">
      <c r="A367" s="413"/>
      <c r="B367" s="413"/>
      <c r="C367" s="413"/>
      <c r="D367" s="414"/>
      <c r="E367" s="414"/>
      <c r="F367" s="414"/>
      <c r="G367" s="414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  <c r="T367" s="413"/>
      <c r="U367" s="413"/>
      <c r="V367" s="413"/>
      <c r="W367" s="413"/>
      <c r="X367" s="413"/>
      <c r="Y367" s="413"/>
      <c r="Z367" s="413"/>
    </row>
    <row r="368" ht="12.0" customHeight="1">
      <c r="A368" s="413"/>
      <c r="B368" s="413"/>
      <c r="C368" s="413"/>
      <c r="D368" s="414"/>
      <c r="E368" s="414"/>
      <c r="F368" s="414"/>
      <c r="G368" s="414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  <c r="T368" s="413"/>
      <c r="U368" s="413"/>
      <c r="V368" s="413"/>
      <c r="W368" s="413"/>
      <c r="X368" s="413"/>
      <c r="Y368" s="413"/>
      <c r="Z368" s="413"/>
    </row>
    <row r="369" ht="12.0" customHeight="1">
      <c r="A369" s="413"/>
      <c r="B369" s="413"/>
      <c r="C369" s="413"/>
      <c r="D369" s="414"/>
      <c r="E369" s="414"/>
      <c r="F369" s="414"/>
      <c r="G369" s="414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  <c r="T369" s="413"/>
      <c r="U369" s="413"/>
      <c r="V369" s="413"/>
      <c r="W369" s="413"/>
      <c r="X369" s="413"/>
      <c r="Y369" s="413"/>
      <c r="Z369" s="413"/>
    </row>
    <row r="370" ht="12.0" customHeight="1">
      <c r="A370" s="413"/>
      <c r="B370" s="413"/>
      <c r="C370" s="413"/>
      <c r="D370" s="414"/>
      <c r="E370" s="414"/>
      <c r="F370" s="414"/>
      <c r="G370" s="414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  <c r="T370" s="413"/>
      <c r="U370" s="413"/>
      <c r="V370" s="413"/>
      <c r="W370" s="413"/>
      <c r="X370" s="413"/>
      <c r="Y370" s="413"/>
      <c r="Z370" s="413"/>
    </row>
    <row r="371" ht="12.0" customHeight="1">
      <c r="A371" s="413"/>
      <c r="B371" s="413"/>
      <c r="C371" s="413"/>
      <c r="D371" s="414"/>
      <c r="E371" s="414"/>
      <c r="F371" s="414"/>
      <c r="G371" s="414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  <c r="T371" s="413"/>
      <c r="U371" s="413"/>
      <c r="V371" s="413"/>
      <c r="W371" s="413"/>
      <c r="X371" s="413"/>
      <c r="Y371" s="413"/>
      <c r="Z371" s="413"/>
    </row>
    <row r="372" ht="12.0" customHeight="1">
      <c r="A372" s="413"/>
      <c r="B372" s="413"/>
      <c r="C372" s="413"/>
      <c r="D372" s="414"/>
      <c r="E372" s="414"/>
      <c r="F372" s="414"/>
      <c r="G372" s="414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  <c r="T372" s="413"/>
      <c r="U372" s="413"/>
      <c r="V372" s="413"/>
      <c r="W372" s="413"/>
      <c r="X372" s="413"/>
      <c r="Y372" s="413"/>
      <c r="Z372" s="413"/>
    </row>
    <row r="373" ht="12.0" customHeight="1">
      <c r="A373" s="413"/>
      <c r="B373" s="413"/>
      <c r="C373" s="413"/>
      <c r="D373" s="414"/>
      <c r="E373" s="414"/>
      <c r="F373" s="414"/>
      <c r="G373" s="414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  <c r="T373" s="413"/>
      <c r="U373" s="413"/>
      <c r="V373" s="413"/>
      <c r="W373" s="413"/>
      <c r="X373" s="413"/>
      <c r="Y373" s="413"/>
      <c r="Z373" s="413"/>
    </row>
    <row r="374" ht="12.0" customHeight="1">
      <c r="A374" s="413"/>
      <c r="B374" s="413"/>
      <c r="C374" s="413"/>
      <c r="D374" s="414"/>
      <c r="E374" s="414"/>
      <c r="F374" s="414"/>
      <c r="G374" s="414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  <c r="T374" s="413"/>
      <c r="U374" s="413"/>
      <c r="V374" s="413"/>
      <c r="W374" s="413"/>
      <c r="X374" s="413"/>
      <c r="Y374" s="413"/>
      <c r="Z374" s="413"/>
    </row>
    <row r="375" ht="12.0" customHeight="1">
      <c r="A375" s="413"/>
      <c r="B375" s="413"/>
      <c r="C375" s="413"/>
      <c r="D375" s="414"/>
      <c r="E375" s="414"/>
      <c r="F375" s="414"/>
      <c r="G375" s="414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  <c r="T375" s="413"/>
      <c r="U375" s="413"/>
      <c r="V375" s="413"/>
      <c r="W375" s="413"/>
      <c r="X375" s="413"/>
      <c r="Y375" s="413"/>
      <c r="Z375" s="413"/>
    </row>
    <row r="376" ht="12.0" customHeight="1">
      <c r="A376" s="413"/>
      <c r="B376" s="413"/>
      <c r="C376" s="413"/>
      <c r="D376" s="414"/>
      <c r="E376" s="414"/>
      <c r="F376" s="414"/>
      <c r="G376" s="414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  <c r="T376" s="413"/>
      <c r="U376" s="413"/>
      <c r="V376" s="413"/>
      <c r="W376" s="413"/>
      <c r="X376" s="413"/>
      <c r="Y376" s="413"/>
      <c r="Z376" s="413"/>
    </row>
    <row r="377" ht="12.0" customHeight="1">
      <c r="A377" s="413"/>
      <c r="B377" s="413"/>
      <c r="C377" s="413"/>
      <c r="D377" s="414"/>
      <c r="E377" s="414"/>
      <c r="F377" s="414"/>
      <c r="G377" s="414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  <c r="T377" s="413"/>
      <c r="U377" s="413"/>
      <c r="V377" s="413"/>
      <c r="W377" s="413"/>
      <c r="X377" s="413"/>
      <c r="Y377" s="413"/>
      <c r="Z377" s="413"/>
    </row>
    <row r="378" ht="12.0" customHeight="1">
      <c r="A378" s="413"/>
      <c r="B378" s="413"/>
      <c r="C378" s="413"/>
      <c r="D378" s="414"/>
      <c r="E378" s="414"/>
      <c r="F378" s="414"/>
      <c r="G378" s="414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  <c r="T378" s="413"/>
      <c r="U378" s="413"/>
      <c r="V378" s="413"/>
      <c r="W378" s="413"/>
      <c r="X378" s="413"/>
      <c r="Y378" s="413"/>
      <c r="Z378" s="413"/>
    </row>
    <row r="379" ht="12.0" customHeight="1">
      <c r="A379" s="413"/>
      <c r="B379" s="413"/>
      <c r="C379" s="413"/>
      <c r="D379" s="414"/>
      <c r="E379" s="414"/>
      <c r="F379" s="414"/>
      <c r="G379" s="414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  <c r="T379" s="413"/>
      <c r="U379" s="413"/>
      <c r="V379" s="413"/>
      <c r="W379" s="413"/>
      <c r="X379" s="413"/>
      <c r="Y379" s="413"/>
      <c r="Z379" s="413"/>
    </row>
    <row r="380" ht="12.0" customHeight="1">
      <c r="A380" s="413"/>
      <c r="B380" s="413"/>
      <c r="C380" s="413"/>
      <c r="D380" s="414"/>
      <c r="E380" s="414"/>
      <c r="F380" s="414"/>
      <c r="G380" s="414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  <c r="T380" s="413"/>
      <c r="U380" s="413"/>
      <c r="V380" s="413"/>
      <c r="W380" s="413"/>
      <c r="X380" s="413"/>
      <c r="Y380" s="413"/>
      <c r="Z380" s="413"/>
    </row>
    <row r="381" ht="12.0" customHeight="1">
      <c r="A381" s="413"/>
      <c r="B381" s="413"/>
      <c r="C381" s="413"/>
      <c r="D381" s="414"/>
      <c r="E381" s="414"/>
      <c r="F381" s="414"/>
      <c r="G381" s="414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  <c r="T381" s="413"/>
      <c r="U381" s="413"/>
      <c r="V381" s="413"/>
      <c r="W381" s="413"/>
      <c r="X381" s="413"/>
      <c r="Y381" s="413"/>
      <c r="Z381" s="413"/>
    </row>
    <row r="382" ht="12.0" customHeight="1">
      <c r="A382" s="413"/>
      <c r="B382" s="413"/>
      <c r="C382" s="413"/>
      <c r="D382" s="414"/>
      <c r="E382" s="414"/>
      <c r="F382" s="414"/>
      <c r="G382" s="414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  <c r="T382" s="413"/>
      <c r="U382" s="413"/>
      <c r="V382" s="413"/>
      <c r="W382" s="413"/>
      <c r="X382" s="413"/>
      <c r="Y382" s="413"/>
      <c r="Z382" s="413"/>
    </row>
    <row r="383" ht="12.0" customHeight="1">
      <c r="A383" s="413"/>
      <c r="B383" s="413"/>
      <c r="C383" s="413"/>
      <c r="D383" s="414"/>
      <c r="E383" s="414"/>
      <c r="F383" s="414"/>
      <c r="G383" s="414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  <c r="T383" s="413"/>
      <c r="U383" s="413"/>
      <c r="V383" s="413"/>
      <c r="W383" s="413"/>
      <c r="X383" s="413"/>
      <c r="Y383" s="413"/>
      <c r="Z383" s="413"/>
    </row>
    <row r="384" ht="12.0" customHeight="1">
      <c r="A384" s="413"/>
      <c r="B384" s="413"/>
      <c r="C384" s="413"/>
      <c r="D384" s="414"/>
      <c r="E384" s="414"/>
      <c r="F384" s="414"/>
      <c r="G384" s="414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  <c r="T384" s="413"/>
      <c r="U384" s="413"/>
      <c r="V384" s="413"/>
      <c r="W384" s="413"/>
      <c r="X384" s="413"/>
      <c r="Y384" s="413"/>
      <c r="Z384" s="413"/>
    </row>
    <row r="385" ht="12.0" customHeight="1">
      <c r="A385" s="413"/>
      <c r="B385" s="413"/>
      <c r="C385" s="413"/>
      <c r="D385" s="414"/>
      <c r="E385" s="414"/>
      <c r="F385" s="414"/>
      <c r="G385" s="414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  <c r="T385" s="413"/>
      <c r="U385" s="413"/>
      <c r="V385" s="413"/>
      <c r="W385" s="413"/>
      <c r="X385" s="413"/>
      <c r="Y385" s="413"/>
      <c r="Z385" s="413"/>
    </row>
    <row r="386" ht="12.0" customHeight="1">
      <c r="A386" s="413"/>
      <c r="B386" s="413"/>
      <c r="C386" s="413"/>
      <c r="D386" s="414"/>
      <c r="E386" s="414"/>
      <c r="F386" s="414"/>
      <c r="G386" s="414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  <c r="T386" s="413"/>
      <c r="U386" s="413"/>
      <c r="V386" s="413"/>
      <c r="W386" s="413"/>
      <c r="X386" s="413"/>
      <c r="Y386" s="413"/>
      <c r="Z386" s="413"/>
    </row>
    <row r="387" ht="12.0" customHeight="1">
      <c r="A387" s="413"/>
      <c r="B387" s="413"/>
      <c r="C387" s="413"/>
      <c r="D387" s="414"/>
      <c r="E387" s="414"/>
      <c r="F387" s="414"/>
      <c r="G387" s="414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</row>
    <row r="388" ht="12.0" customHeight="1">
      <c r="A388" s="413"/>
      <c r="B388" s="413"/>
      <c r="C388" s="413"/>
      <c r="D388" s="414"/>
      <c r="E388" s="414"/>
      <c r="F388" s="414"/>
      <c r="G388" s="414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</row>
    <row r="389" ht="12.0" customHeight="1">
      <c r="A389" s="413"/>
      <c r="B389" s="413"/>
      <c r="C389" s="413"/>
      <c r="D389" s="414"/>
      <c r="E389" s="414"/>
      <c r="F389" s="414"/>
      <c r="G389" s="414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</row>
    <row r="390" ht="12.0" customHeight="1">
      <c r="A390" s="413"/>
      <c r="B390" s="413"/>
      <c r="C390" s="413"/>
      <c r="D390" s="414"/>
      <c r="E390" s="414"/>
      <c r="F390" s="414"/>
      <c r="G390" s="414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</row>
    <row r="391" ht="12.0" customHeight="1">
      <c r="A391" s="413"/>
      <c r="B391" s="413"/>
      <c r="C391" s="413"/>
      <c r="D391" s="414"/>
      <c r="E391" s="414"/>
      <c r="F391" s="414"/>
      <c r="G391" s="414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  <c r="T391" s="413"/>
      <c r="U391" s="413"/>
      <c r="V391" s="413"/>
      <c r="W391" s="413"/>
      <c r="X391" s="413"/>
      <c r="Y391" s="413"/>
      <c r="Z391" s="413"/>
    </row>
    <row r="392" ht="12.0" customHeight="1">
      <c r="A392" s="413"/>
      <c r="B392" s="413"/>
      <c r="C392" s="413"/>
      <c r="D392" s="414"/>
      <c r="E392" s="414"/>
      <c r="F392" s="414"/>
      <c r="G392" s="414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  <c r="T392" s="413"/>
      <c r="U392" s="413"/>
      <c r="V392" s="413"/>
      <c r="W392" s="413"/>
      <c r="X392" s="413"/>
      <c r="Y392" s="413"/>
      <c r="Z392" s="413"/>
    </row>
    <row r="393" ht="12.0" customHeight="1">
      <c r="A393" s="413"/>
      <c r="B393" s="413"/>
      <c r="C393" s="413"/>
      <c r="D393" s="414"/>
      <c r="E393" s="414"/>
      <c r="F393" s="414"/>
      <c r="G393" s="414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  <c r="T393" s="413"/>
      <c r="U393" s="413"/>
      <c r="V393" s="413"/>
      <c r="W393" s="413"/>
      <c r="X393" s="413"/>
      <c r="Y393" s="413"/>
      <c r="Z393" s="413"/>
    </row>
    <row r="394" ht="12.0" customHeight="1">
      <c r="A394" s="413"/>
      <c r="B394" s="413"/>
      <c r="C394" s="413"/>
      <c r="D394" s="414"/>
      <c r="E394" s="414"/>
      <c r="F394" s="414"/>
      <c r="G394" s="414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  <c r="T394" s="413"/>
      <c r="U394" s="413"/>
      <c r="V394" s="413"/>
      <c r="W394" s="413"/>
      <c r="X394" s="413"/>
      <c r="Y394" s="413"/>
      <c r="Z394" s="413"/>
    </row>
    <row r="395" ht="12.0" customHeight="1">
      <c r="A395" s="413"/>
      <c r="B395" s="413"/>
      <c r="C395" s="413"/>
      <c r="D395" s="414"/>
      <c r="E395" s="414"/>
      <c r="F395" s="414"/>
      <c r="G395" s="414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  <c r="T395" s="413"/>
      <c r="U395" s="413"/>
      <c r="V395" s="413"/>
      <c r="W395" s="413"/>
      <c r="X395" s="413"/>
      <c r="Y395" s="413"/>
      <c r="Z395" s="413"/>
    </row>
    <row r="396" ht="12.0" customHeight="1">
      <c r="A396" s="413"/>
      <c r="B396" s="413"/>
      <c r="C396" s="413"/>
      <c r="D396" s="414"/>
      <c r="E396" s="414"/>
      <c r="F396" s="414"/>
      <c r="G396" s="414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  <c r="T396" s="413"/>
      <c r="U396" s="413"/>
      <c r="V396" s="413"/>
      <c r="W396" s="413"/>
      <c r="X396" s="413"/>
      <c r="Y396" s="413"/>
      <c r="Z396" s="413"/>
    </row>
    <row r="397" ht="12.0" customHeight="1">
      <c r="A397" s="413"/>
      <c r="B397" s="413"/>
      <c r="C397" s="413"/>
      <c r="D397" s="414"/>
      <c r="E397" s="414"/>
      <c r="F397" s="414"/>
      <c r="G397" s="414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  <c r="T397" s="413"/>
      <c r="U397" s="413"/>
      <c r="V397" s="413"/>
      <c r="W397" s="413"/>
      <c r="X397" s="413"/>
      <c r="Y397" s="413"/>
      <c r="Z397" s="413"/>
    </row>
    <row r="398" ht="12.0" customHeight="1">
      <c r="A398" s="413"/>
      <c r="B398" s="413"/>
      <c r="C398" s="413"/>
      <c r="D398" s="414"/>
      <c r="E398" s="414"/>
      <c r="F398" s="414"/>
      <c r="G398" s="414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  <c r="T398" s="413"/>
      <c r="U398" s="413"/>
      <c r="V398" s="413"/>
      <c r="W398" s="413"/>
      <c r="X398" s="413"/>
      <c r="Y398" s="413"/>
      <c r="Z398" s="413"/>
    </row>
    <row r="399" ht="12.0" customHeight="1">
      <c r="A399" s="413"/>
      <c r="B399" s="413"/>
      <c r="C399" s="413"/>
      <c r="D399" s="414"/>
      <c r="E399" s="414"/>
      <c r="F399" s="414"/>
      <c r="G399" s="414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  <c r="T399" s="413"/>
      <c r="U399" s="413"/>
      <c r="V399" s="413"/>
      <c r="W399" s="413"/>
      <c r="X399" s="413"/>
      <c r="Y399" s="413"/>
      <c r="Z399" s="413"/>
    </row>
    <row r="400" ht="12.0" customHeight="1">
      <c r="A400" s="413"/>
      <c r="B400" s="413"/>
      <c r="C400" s="413"/>
      <c r="D400" s="414"/>
      <c r="E400" s="414"/>
      <c r="F400" s="414"/>
      <c r="G400" s="414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  <c r="T400" s="413"/>
      <c r="U400" s="413"/>
      <c r="V400" s="413"/>
      <c r="W400" s="413"/>
      <c r="X400" s="413"/>
      <c r="Y400" s="413"/>
      <c r="Z400" s="413"/>
    </row>
    <row r="401" ht="12.0" customHeight="1">
      <c r="A401" s="413"/>
      <c r="B401" s="413"/>
      <c r="C401" s="413"/>
      <c r="D401" s="414"/>
      <c r="E401" s="414"/>
      <c r="F401" s="414"/>
      <c r="G401" s="414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  <c r="T401" s="413"/>
      <c r="U401" s="413"/>
      <c r="V401" s="413"/>
      <c r="W401" s="413"/>
      <c r="X401" s="413"/>
      <c r="Y401" s="413"/>
      <c r="Z401" s="413"/>
    </row>
    <row r="402" ht="12.0" customHeight="1">
      <c r="A402" s="413"/>
      <c r="B402" s="413"/>
      <c r="C402" s="413"/>
      <c r="D402" s="414"/>
      <c r="E402" s="414"/>
      <c r="F402" s="414"/>
      <c r="G402" s="414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  <c r="T402" s="413"/>
      <c r="U402" s="413"/>
      <c r="V402" s="413"/>
      <c r="W402" s="413"/>
      <c r="X402" s="413"/>
      <c r="Y402" s="413"/>
      <c r="Z402" s="413"/>
    </row>
    <row r="403" ht="12.0" customHeight="1">
      <c r="A403" s="413"/>
      <c r="B403" s="413"/>
      <c r="C403" s="413"/>
      <c r="D403" s="414"/>
      <c r="E403" s="414"/>
      <c r="F403" s="414"/>
      <c r="G403" s="414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  <c r="T403" s="413"/>
      <c r="U403" s="413"/>
      <c r="V403" s="413"/>
      <c r="W403" s="413"/>
      <c r="X403" s="413"/>
      <c r="Y403" s="413"/>
      <c r="Z403" s="413"/>
    </row>
    <row r="404" ht="12.0" customHeight="1">
      <c r="A404" s="413"/>
      <c r="B404" s="413"/>
      <c r="C404" s="413"/>
      <c r="D404" s="414"/>
      <c r="E404" s="414"/>
      <c r="F404" s="414"/>
      <c r="G404" s="414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  <c r="T404" s="413"/>
      <c r="U404" s="413"/>
      <c r="V404" s="413"/>
      <c r="W404" s="413"/>
      <c r="X404" s="413"/>
      <c r="Y404" s="413"/>
      <c r="Z404" s="413"/>
    </row>
    <row r="405" ht="12.0" customHeight="1">
      <c r="A405" s="413"/>
      <c r="B405" s="413"/>
      <c r="C405" s="413"/>
      <c r="D405" s="414"/>
      <c r="E405" s="414"/>
      <c r="F405" s="414"/>
      <c r="G405" s="414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  <c r="T405" s="413"/>
      <c r="U405" s="413"/>
      <c r="V405" s="413"/>
      <c r="W405" s="413"/>
      <c r="X405" s="413"/>
      <c r="Y405" s="413"/>
      <c r="Z405" s="413"/>
    </row>
    <row r="406" ht="12.0" customHeight="1">
      <c r="A406" s="413"/>
      <c r="B406" s="413"/>
      <c r="C406" s="413"/>
      <c r="D406" s="414"/>
      <c r="E406" s="414"/>
      <c r="F406" s="414"/>
      <c r="G406" s="414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  <c r="T406" s="413"/>
      <c r="U406" s="413"/>
      <c r="V406" s="413"/>
      <c r="W406" s="413"/>
      <c r="X406" s="413"/>
      <c r="Y406" s="413"/>
      <c r="Z406" s="413"/>
    </row>
    <row r="407" ht="12.0" customHeight="1">
      <c r="A407" s="413"/>
      <c r="B407" s="413"/>
      <c r="C407" s="413"/>
      <c r="D407" s="414"/>
      <c r="E407" s="414"/>
      <c r="F407" s="414"/>
      <c r="G407" s="414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  <c r="T407" s="413"/>
      <c r="U407" s="413"/>
      <c r="V407" s="413"/>
      <c r="W407" s="413"/>
      <c r="X407" s="413"/>
      <c r="Y407" s="413"/>
      <c r="Z407" s="413"/>
    </row>
    <row r="408" ht="12.0" customHeight="1">
      <c r="A408" s="413"/>
      <c r="B408" s="413"/>
      <c r="C408" s="413"/>
      <c r="D408" s="414"/>
      <c r="E408" s="414"/>
      <c r="F408" s="414"/>
      <c r="G408" s="414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  <c r="T408" s="413"/>
      <c r="U408" s="413"/>
      <c r="V408" s="413"/>
      <c r="W408" s="413"/>
      <c r="X408" s="413"/>
      <c r="Y408" s="413"/>
      <c r="Z408" s="413"/>
    </row>
    <row r="409" ht="12.0" customHeight="1">
      <c r="A409" s="413"/>
      <c r="B409" s="413"/>
      <c r="C409" s="413"/>
      <c r="D409" s="414"/>
      <c r="E409" s="414"/>
      <c r="F409" s="414"/>
      <c r="G409" s="414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  <c r="T409" s="413"/>
      <c r="U409" s="413"/>
      <c r="V409" s="413"/>
      <c r="W409" s="413"/>
      <c r="X409" s="413"/>
      <c r="Y409" s="413"/>
      <c r="Z409" s="413"/>
    </row>
    <row r="410" ht="12.0" customHeight="1">
      <c r="A410" s="413"/>
      <c r="B410" s="413"/>
      <c r="C410" s="413"/>
      <c r="D410" s="414"/>
      <c r="E410" s="414"/>
      <c r="F410" s="414"/>
      <c r="G410" s="414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  <c r="T410" s="413"/>
      <c r="U410" s="413"/>
      <c r="V410" s="413"/>
      <c r="W410" s="413"/>
      <c r="X410" s="413"/>
      <c r="Y410" s="413"/>
      <c r="Z410" s="413"/>
    </row>
    <row r="411" ht="12.0" customHeight="1">
      <c r="A411" s="413"/>
      <c r="B411" s="413"/>
      <c r="C411" s="413"/>
      <c r="D411" s="414"/>
      <c r="E411" s="414"/>
      <c r="F411" s="414"/>
      <c r="G411" s="414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  <c r="T411" s="413"/>
      <c r="U411" s="413"/>
      <c r="V411" s="413"/>
      <c r="W411" s="413"/>
      <c r="X411" s="413"/>
      <c r="Y411" s="413"/>
      <c r="Z411" s="413"/>
    </row>
    <row r="412" ht="12.0" customHeight="1">
      <c r="A412" s="413"/>
      <c r="B412" s="413"/>
      <c r="C412" s="413"/>
      <c r="D412" s="414"/>
      <c r="E412" s="414"/>
      <c r="F412" s="414"/>
      <c r="G412" s="414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  <c r="T412" s="413"/>
      <c r="U412" s="413"/>
      <c r="V412" s="413"/>
      <c r="W412" s="413"/>
      <c r="X412" s="413"/>
      <c r="Y412" s="413"/>
      <c r="Z412" s="413"/>
    </row>
    <row r="413" ht="12.0" customHeight="1">
      <c r="A413" s="413"/>
      <c r="B413" s="413"/>
      <c r="C413" s="413"/>
      <c r="D413" s="414"/>
      <c r="E413" s="414"/>
      <c r="F413" s="414"/>
      <c r="G413" s="414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</row>
    <row r="414" ht="12.0" customHeight="1">
      <c r="A414" s="413"/>
      <c r="B414" s="413"/>
      <c r="C414" s="413"/>
      <c r="D414" s="414"/>
      <c r="E414" s="414"/>
      <c r="F414" s="414"/>
      <c r="G414" s="414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  <c r="T414" s="413"/>
      <c r="U414" s="413"/>
      <c r="V414" s="413"/>
      <c r="W414" s="413"/>
      <c r="X414" s="413"/>
      <c r="Y414" s="413"/>
      <c r="Z414" s="413"/>
    </row>
    <row r="415" ht="12.0" customHeight="1">
      <c r="A415" s="413"/>
      <c r="B415" s="413"/>
      <c r="C415" s="413"/>
      <c r="D415" s="414"/>
      <c r="E415" s="414"/>
      <c r="F415" s="414"/>
      <c r="G415" s="414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  <c r="T415" s="413"/>
      <c r="U415" s="413"/>
      <c r="V415" s="413"/>
      <c r="W415" s="413"/>
      <c r="X415" s="413"/>
      <c r="Y415" s="413"/>
      <c r="Z415" s="413"/>
    </row>
    <row r="416" ht="12.0" customHeight="1">
      <c r="A416" s="413"/>
      <c r="B416" s="413"/>
      <c r="C416" s="413"/>
      <c r="D416" s="414"/>
      <c r="E416" s="414"/>
      <c r="F416" s="414"/>
      <c r="G416" s="414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  <c r="T416" s="413"/>
      <c r="U416" s="413"/>
      <c r="V416" s="413"/>
      <c r="W416" s="413"/>
      <c r="X416" s="413"/>
      <c r="Y416" s="413"/>
      <c r="Z416" s="413"/>
    </row>
    <row r="417" ht="12.0" customHeight="1">
      <c r="A417" s="413"/>
      <c r="B417" s="413"/>
      <c r="C417" s="413"/>
      <c r="D417" s="414"/>
      <c r="E417" s="414"/>
      <c r="F417" s="414"/>
      <c r="G417" s="414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  <c r="T417" s="413"/>
      <c r="U417" s="413"/>
      <c r="V417" s="413"/>
      <c r="W417" s="413"/>
      <c r="X417" s="413"/>
      <c r="Y417" s="413"/>
      <c r="Z417" s="413"/>
    </row>
    <row r="418" ht="12.0" customHeight="1">
      <c r="A418" s="413"/>
      <c r="B418" s="413"/>
      <c r="C418" s="413"/>
      <c r="D418" s="414"/>
      <c r="E418" s="414"/>
      <c r="F418" s="414"/>
      <c r="G418" s="414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  <c r="T418" s="413"/>
      <c r="U418" s="413"/>
      <c r="V418" s="413"/>
      <c r="W418" s="413"/>
      <c r="X418" s="413"/>
      <c r="Y418" s="413"/>
      <c r="Z418" s="413"/>
    </row>
    <row r="419" ht="12.0" customHeight="1">
      <c r="A419" s="413"/>
      <c r="B419" s="413"/>
      <c r="C419" s="413"/>
      <c r="D419" s="414"/>
      <c r="E419" s="414"/>
      <c r="F419" s="414"/>
      <c r="G419" s="414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  <c r="T419" s="413"/>
      <c r="U419" s="413"/>
      <c r="V419" s="413"/>
      <c r="W419" s="413"/>
      <c r="X419" s="413"/>
      <c r="Y419" s="413"/>
      <c r="Z419" s="413"/>
    </row>
    <row r="420" ht="12.0" customHeight="1">
      <c r="A420" s="413"/>
      <c r="B420" s="413"/>
      <c r="C420" s="413"/>
      <c r="D420" s="414"/>
      <c r="E420" s="414"/>
      <c r="F420" s="414"/>
      <c r="G420" s="414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  <c r="T420" s="413"/>
      <c r="U420" s="413"/>
      <c r="V420" s="413"/>
      <c r="W420" s="413"/>
      <c r="X420" s="413"/>
      <c r="Y420" s="413"/>
      <c r="Z420" s="413"/>
    </row>
    <row r="421" ht="12.0" customHeight="1">
      <c r="A421" s="413"/>
      <c r="B421" s="413"/>
      <c r="C421" s="413"/>
      <c r="D421" s="414"/>
      <c r="E421" s="414"/>
      <c r="F421" s="414"/>
      <c r="G421" s="414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  <c r="T421" s="413"/>
      <c r="U421" s="413"/>
      <c r="V421" s="413"/>
      <c r="W421" s="413"/>
      <c r="X421" s="413"/>
      <c r="Y421" s="413"/>
      <c r="Z421" s="413"/>
    </row>
    <row r="422" ht="12.0" customHeight="1">
      <c r="A422" s="413"/>
      <c r="B422" s="413"/>
      <c r="C422" s="413"/>
      <c r="D422" s="414"/>
      <c r="E422" s="414"/>
      <c r="F422" s="414"/>
      <c r="G422" s="414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  <c r="T422" s="413"/>
      <c r="U422" s="413"/>
      <c r="V422" s="413"/>
      <c r="W422" s="413"/>
      <c r="X422" s="413"/>
      <c r="Y422" s="413"/>
      <c r="Z422" s="413"/>
    </row>
    <row r="423" ht="12.0" customHeight="1">
      <c r="A423" s="413"/>
      <c r="B423" s="413"/>
      <c r="C423" s="413"/>
      <c r="D423" s="414"/>
      <c r="E423" s="414"/>
      <c r="F423" s="414"/>
      <c r="G423" s="414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  <c r="T423" s="413"/>
      <c r="U423" s="413"/>
      <c r="V423" s="413"/>
      <c r="W423" s="413"/>
      <c r="X423" s="413"/>
      <c r="Y423" s="413"/>
      <c r="Z423" s="413"/>
    </row>
    <row r="424" ht="12.0" customHeight="1">
      <c r="A424" s="413"/>
      <c r="B424" s="413"/>
      <c r="C424" s="413"/>
      <c r="D424" s="414"/>
      <c r="E424" s="414"/>
      <c r="F424" s="414"/>
      <c r="G424" s="414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  <c r="T424" s="413"/>
      <c r="U424" s="413"/>
      <c r="V424" s="413"/>
      <c r="W424" s="413"/>
      <c r="X424" s="413"/>
      <c r="Y424" s="413"/>
      <c r="Z424" s="413"/>
    </row>
    <row r="425" ht="12.0" customHeight="1">
      <c r="A425" s="413"/>
      <c r="B425" s="413"/>
      <c r="C425" s="413"/>
      <c r="D425" s="414"/>
      <c r="E425" s="414"/>
      <c r="F425" s="414"/>
      <c r="G425" s="414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  <c r="T425" s="413"/>
      <c r="U425" s="413"/>
      <c r="V425" s="413"/>
      <c r="W425" s="413"/>
      <c r="X425" s="413"/>
      <c r="Y425" s="413"/>
      <c r="Z425" s="413"/>
    </row>
    <row r="426" ht="12.0" customHeight="1">
      <c r="A426" s="413"/>
      <c r="B426" s="413"/>
      <c r="C426" s="413"/>
      <c r="D426" s="414"/>
      <c r="E426" s="414"/>
      <c r="F426" s="414"/>
      <c r="G426" s="414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  <c r="T426" s="413"/>
      <c r="U426" s="413"/>
      <c r="V426" s="413"/>
      <c r="W426" s="413"/>
      <c r="X426" s="413"/>
      <c r="Y426" s="413"/>
      <c r="Z426" s="413"/>
    </row>
    <row r="427" ht="12.0" customHeight="1">
      <c r="A427" s="413"/>
      <c r="B427" s="413"/>
      <c r="C427" s="413"/>
      <c r="D427" s="414"/>
      <c r="E427" s="414"/>
      <c r="F427" s="414"/>
      <c r="G427" s="414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  <c r="T427" s="413"/>
      <c r="U427" s="413"/>
      <c r="V427" s="413"/>
      <c r="W427" s="413"/>
      <c r="X427" s="413"/>
      <c r="Y427" s="413"/>
      <c r="Z427" s="413"/>
    </row>
    <row r="428" ht="12.0" customHeight="1">
      <c r="A428" s="413"/>
      <c r="B428" s="413"/>
      <c r="C428" s="413"/>
      <c r="D428" s="414"/>
      <c r="E428" s="414"/>
      <c r="F428" s="414"/>
      <c r="G428" s="414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  <c r="T428" s="413"/>
      <c r="U428" s="413"/>
      <c r="V428" s="413"/>
      <c r="W428" s="413"/>
      <c r="X428" s="413"/>
      <c r="Y428" s="413"/>
      <c r="Z428" s="413"/>
    </row>
    <row r="429" ht="12.0" customHeight="1">
      <c r="A429" s="413"/>
      <c r="B429" s="413"/>
      <c r="C429" s="413"/>
      <c r="D429" s="414"/>
      <c r="E429" s="414"/>
      <c r="F429" s="414"/>
      <c r="G429" s="414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  <c r="T429" s="413"/>
      <c r="U429" s="413"/>
      <c r="V429" s="413"/>
      <c r="W429" s="413"/>
      <c r="X429" s="413"/>
      <c r="Y429" s="413"/>
      <c r="Z429" s="413"/>
    </row>
    <row r="430" ht="12.0" customHeight="1">
      <c r="A430" s="413"/>
      <c r="B430" s="413"/>
      <c r="C430" s="413"/>
      <c r="D430" s="414"/>
      <c r="E430" s="414"/>
      <c r="F430" s="414"/>
      <c r="G430" s="414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  <c r="T430" s="413"/>
      <c r="U430" s="413"/>
      <c r="V430" s="413"/>
      <c r="W430" s="413"/>
      <c r="X430" s="413"/>
      <c r="Y430" s="413"/>
      <c r="Z430" s="413"/>
    </row>
    <row r="431" ht="12.0" customHeight="1">
      <c r="A431" s="413"/>
      <c r="B431" s="413"/>
      <c r="C431" s="413"/>
      <c r="D431" s="414"/>
      <c r="E431" s="414"/>
      <c r="F431" s="414"/>
      <c r="G431" s="414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  <c r="T431" s="413"/>
      <c r="U431" s="413"/>
      <c r="V431" s="413"/>
      <c r="W431" s="413"/>
      <c r="X431" s="413"/>
      <c r="Y431" s="413"/>
      <c r="Z431" s="413"/>
    </row>
    <row r="432" ht="12.0" customHeight="1">
      <c r="A432" s="413"/>
      <c r="B432" s="413"/>
      <c r="C432" s="413"/>
      <c r="D432" s="414"/>
      <c r="E432" s="414"/>
      <c r="F432" s="414"/>
      <c r="G432" s="414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  <c r="T432" s="413"/>
      <c r="U432" s="413"/>
      <c r="V432" s="413"/>
      <c r="W432" s="413"/>
      <c r="X432" s="413"/>
      <c r="Y432" s="413"/>
      <c r="Z432" s="413"/>
    </row>
    <row r="433" ht="12.0" customHeight="1">
      <c r="A433" s="413"/>
      <c r="B433" s="413"/>
      <c r="C433" s="413"/>
      <c r="D433" s="414"/>
      <c r="E433" s="414"/>
      <c r="F433" s="414"/>
      <c r="G433" s="414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  <c r="T433" s="413"/>
      <c r="U433" s="413"/>
      <c r="V433" s="413"/>
      <c r="W433" s="413"/>
      <c r="X433" s="413"/>
      <c r="Y433" s="413"/>
      <c r="Z433" s="413"/>
    </row>
    <row r="434" ht="12.0" customHeight="1">
      <c r="A434" s="413"/>
      <c r="B434" s="413"/>
      <c r="C434" s="413"/>
      <c r="D434" s="414"/>
      <c r="E434" s="414"/>
      <c r="F434" s="414"/>
      <c r="G434" s="414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  <c r="T434" s="413"/>
      <c r="U434" s="413"/>
      <c r="V434" s="413"/>
      <c r="W434" s="413"/>
      <c r="X434" s="413"/>
      <c r="Y434" s="413"/>
      <c r="Z434" s="413"/>
    </row>
    <row r="435" ht="12.0" customHeight="1">
      <c r="A435" s="413"/>
      <c r="B435" s="413"/>
      <c r="C435" s="413"/>
      <c r="D435" s="414"/>
      <c r="E435" s="414"/>
      <c r="F435" s="414"/>
      <c r="G435" s="414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  <c r="T435" s="413"/>
      <c r="U435" s="413"/>
      <c r="V435" s="413"/>
      <c r="W435" s="413"/>
      <c r="X435" s="413"/>
      <c r="Y435" s="413"/>
      <c r="Z435" s="413"/>
    </row>
    <row r="436" ht="12.0" customHeight="1">
      <c r="A436" s="413"/>
      <c r="B436" s="413"/>
      <c r="C436" s="413"/>
      <c r="D436" s="414"/>
      <c r="E436" s="414"/>
      <c r="F436" s="414"/>
      <c r="G436" s="414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  <c r="T436" s="413"/>
      <c r="U436" s="413"/>
      <c r="V436" s="413"/>
      <c r="W436" s="413"/>
      <c r="X436" s="413"/>
      <c r="Y436" s="413"/>
      <c r="Z436" s="413"/>
    </row>
    <row r="437" ht="12.0" customHeight="1">
      <c r="A437" s="413"/>
      <c r="B437" s="413"/>
      <c r="C437" s="413"/>
      <c r="D437" s="414"/>
      <c r="E437" s="414"/>
      <c r="F437" s="414"/>
      <c r="G437" s="414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  <c r="T437" s="413"/>
      <c r="U437" s="413"/>
      <c r="V437" s="413"/>
      <c r="W437" s="413"/>
      <c r="X437" s="413"/>
      <c r="Y437" s="413"/>
      <c r="Z437" s="413"/>
    </row>
    <row r="438" ht="12.0" customHeight="1">
      <c r="A438" s="413"/>
      <c r="B438" s="413"/>
      <c r="C438" s="413"/>
      <c r="D438" s="414"/>
      <c r="E438" s="414"/>
      <c r="F438" s="414"/>
      <c r="G438" s="414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  <c r="T438" s="413"/>
      <c r="U438" s="413"/>
      <c r="V438" s="413"/>
      <c r="W438" s="413"/>
      <c r="X438" s="413"/>
      <c r="Y438" s="413"/>
      <c r="Z438" s="413"/>
    </row>
    <row r="439" ht="12.0" customHeight="1">
      <c r="A439" s="413"/>
      <c r="B439" s="413"/>
      <c r="C439" s="413"/>
      <c r="D439" s="414"/>
      <c r="E439" s="414"/>
      <c r="F439" s="414"/>
      <c r="G439" s="414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  <c r="T439" s="413"/>
      <c r="U439" s="413"/>
      <c r="V439" s="413"/>
      <c r="W439" s="413"/>
      <c r="X439" s="413"/>
      <c r="Y439" s="413"/>
      <c r="Z439" s="413"/>
    </row>
    <row r="440" ht="12.0" customHeight="1">
      <c r="A440" s="413"/>
      <c r="B440" s="413"/>
      <c r="C440" s="413"/>
      <c r="D440" s="414"/>
      <c r="E440" s="414"/>
      <c r="F440" s="414"/>
      <c r="G440" s="414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  <c r="T440" s="413"/>
      <c r="U440" s="413"/>
      <c r="V440" s="413"/>
      <c r="W440" s="413"/>
      <c r="X440" s="413"/>
      <c r="Y440" s="413"/>
      <c r="Z440" s="413"/>
    </row>
    <row r="441" ht="12.0" customHeight="1">
      <c r="A441" s="413"/>
      <c r="B441" s="413"/>
      <c r="C441" s="413"/>
      <c r="D441" s="414"/>
      <c r="E441" s="414"/>
      <c r="F441" s="414"/>
      <c r="G441" s="414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  <c r="T441" s="413"/>
      <c r="U441" s="413"/>
      <c r="V441" s="413"/>
      <c r="W441" s="413"/>
      <c r="X441" s="413"/>
      <c r="Y441" s="413"/>
      <c r="Z441" s="413"/>
    </row>
    <row r="442" ht="12.0" customHeight="1">
      <c r="A442" s="413"/>
      <c r="B442" s="413"/>
      <c r="C442" s="413"/>
      <c r="D442" s="414"/>
      <c r="E442" s="414"/>
      <c r="F442" s="414"/>
      <c r="G442" s="414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  <c r="T442" s="413"/>
      <c r="U442" s="413"/>
      <c r="V442" s="413"/>
      <c r="W442" s="413"/>
      <c r="X442" s="413"/>
      <c r="Y442" s="413"/>
      <c r="Z442" s="413"/>
    </row>
    <row r="443" ht="12.0" customHeight="1">
      <c r="A443" s="413"/>
      <c r="B443" s="413"/>
      <c r="C443" s="413"/>
      <c r="D443" s="414"/>
      <c r="E443" s="414"/>
      <c r="F443" s="414"/>
      <c r="G443" s="414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  <c r="T443" s="413"/>
      <c r="U443" s="413"/>
      <c r="V443" s="413"/>
      <c r="W443" s="413"/>
      <c r="X443" s="413"/>
      <c r="Y443" s="413"/>
      <c r="Z443" s="413"/>
    </row>
    <row r="444" ht="12.0" customHeight="1">
      <c r="A444" s="413"/>
      <c r="B444" s="413"/>
      <c r="C444" s="413"/>
      <c r="D444" s="414"/>
      <c r="E444" s="414"/>
      <c r="F444" s="414"/>
      <c r="G444" s="414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  <c r="T444" s="413"/>
      <c r="U444" s="413"/>
      <c r="V444" s="413"/>
      <c r="W444" s="413"/>
      <c r="X444" s="413"/>
      <c r="Y444" s="413"/>
      <c r="Z444" s="413"/>
    </row>
    <row r="445" ht="12.0" customHeight="1">
      <c r="A445" s="413"/>
      <c r="B445" s="413"/>
      <c r="C445" s="413"/>
      <c r="D445" s="414"/>
      <c r="E445" s="414"/>
      <c r="F445" s="414"/>
      <c r="G445" s="414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  <c r="T445" s="413"/>
      <c r="U445" s="413"/>
      <c r="V445" s="413"/>
      <c r="W445" s="413"/>
      <c r="X445" s="413"/>
      <c r="Y445" s="413"/>
      <c r="Z445" s="413"/>
    </row>
    <row r="446" ht="12.0" customHeight="1">
      <c r="A446" s="413"/>
      <c r="B446" s="413"/>
      <c r="C446" s="413"/>
      <c r="D446" s="414"/>
      <c r="E446" s="414"/>
      <c r="F446" s="414"/>
      <c r="G446" s="414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  <c r="T446" s="413"/>
      <c r="U446" s="413"/>
      <c r="V446" s="413"/>
      <c r="W446" s="413"/>
      <c r="X446" s="413"/>
      <c r="Y446" s="413"/>
      <c r="Z446" s="413"/>
    </row>
    <row r="447" ht="12.0" customHeight="1">
      <c r="A447" s="413"/>
      <c r="B447" s="413"/>
      <c r="C447" s="413"/>
      <c r="D447" s="414"/>
      <c r="E447" s="414"/>
      <c r="F447" s="414"/>
      <c r="G447" s="414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  <c r="T447" s="413"/>
      <c r="U447" s="413"/>
      <c r="V447" s="413"/>
      <c r="W447" s="413"/>
      <c r="X447" s="413"/>
      <c r="Y447" s="413"/>
      <c r="Z447" s="413"/>
    </row>
    <row r="448" ht="12.0" customHeight="1">
      <c r="A448" s="413"/>
      <c r="B448" s="413"/>
      <c r="C448" s="413"/>
      <c r="D448" s="414"/>
      <c r="E448" s="414"/>
      <c r="F448" s="414"/>
      <c r="G448" s="414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  <c r="T448" s="413"/>
      <c r="U448" s="413"/>
      <c r="V448" s="413"/>
      <c r="W448" s="413"/>
      <c r="X448" s="413"/>
      <c r="Y448" s="413"/>
      <c r="Z448" s="413"/>
    </row>
    <row r="449" ht="12.0" customHeight="1">
      <c r="A449" s="413"/>
      <c r="B449" s="413"/>
      <c r="C449" s="413"/>
      <c r="D449" s="414"/>
      <c r="E449" s="414"/>
      <c r="F449" s="414"/>
      <c r="G449" s="414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  <c r="T449" s="413"/>
      <c r="U449" s="413"/>
      <c r="V449" s="413"/>
      <c r="W449" s="413"/>
      <c r="X449" s="413"/>
      <c r="Y449" s="413"/>
      <c r="Z449" s="413"/>
    </row>
    <row r="450" ht="12.0" customHeight="1">
      <c r="A450" s="413"/>
      <c r="B450" s="413"/>
      <c r="C450" s="413"/>
      <c r="D450" s="414"/>
      <c r="E450" s="414"/>
      <c r="F450" s="414"/>
      <c r="G450" s="414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  <c r="T450" s="413"/>
      <c r="U450" s="413"/>
      <c r="V450" s="413"/>
      <c r="W450" s="413"/>
      <c r="X450" s="413"/>
      <c r="Y450" s="413"/>
      <c r="Z450" s="413"/>
    </row>
    <row r="451" ht="12.0" customHeight="1">
      <c r="A451" s="413"/>
      <c r="B451" s="413"/>
      <c r="C451" s="413"/>
      <c r="D451" s="414"/>
      <c r="E451" s="414"/>
      <c r="F451" s="414"/>
      <c r="G451" s="414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  <c r="T451" s="413"/>
      <c r="U451" s="413"/>
      <c r="V451" s="413"/>
      <c r="W451" s="413"/>
      <c r="X451" s="413"/>
      <c r="Y451" s="413"/>
      <c r="Z451" s="413"/>
    </row>
    <row r="452" ht="12.0" customHeight="1">
      <c r="A452" s="413"/>
      <c r="B452" s="413"/>
      <c r="C452" s="413"/>
      <c r="D452" s="414"/>
      <c r="E452" s="414"/>
      <c r="F452" s="414"/>
      <c r="G452" s="414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  <c r="T452" s="413"/>
      <c r="U452" s="413"/>
      <c r="V452" s="413"/>
      <c r="W452" s="413"/>
      <c r="X452" s="413"/>
      <c r="Y452" s="413"/>
      <c r="Z452" s="413"/>
    </row>
    <row r="453" ht="12.0" customHeight="1">
      <c r="A453" s="413"/>
      <c r="B453" s="413"/>
      <c r="C453" s="413"/>
      <c r="D453" s="414"/>
      <c r="E453" s="414"/>
      <c r="F453" s="414"/>
      <c r="G453" s="414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  <c r="T453" s="413"/>
      <c r="U453" s="413"/>
      <c r="V453" s="413"/>
      <c r="W453" s="413"/>
      <c r="X453" s="413"/>
      <c r="Y453" s="413"/>
      <c r="Z453" s="413"/>
    </row>
    <row r="454" ht="12.0" customHeight="1">
      <c r="A454" s="413"/>
      <c r="B454" s="413"/>
      <c r="C454" s="413"/>
      <c r="D454" s="414"/>
      <c r="E454" s="414"/>
      <c r="F454" s="414"/>
      <c r="G454" s="414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  <c r="T454" s="413"/>
      <c r="U454" s="413"/>
      <c r="V454" s="413"/>
      <c r="W454" s="413"/>
      <c r="X454" s="413"/>
      <c r="Y454" s="413"/>
      <c r="Z454" s="413"/>
    </row>
    <row r="455" ht="12.0" customHeight="1">
      <c r="A455" s="413"/>
      <c r="B455" s="413"/>
      <c r="C455" s="413"/>
      <c r="D455" s="414"/>
      <c r="E455" s="414"/>
      <c r="F455" s="414"/>
      <c r="G455" s="414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  <c r="T455" s="413"/>
      <c r="U455" s="413"/>
      <c r="V455" s="413"/>
      <c r="W455" s="413"/>
      <c r="X455" s="413"/>
      <c r="Y455" s="413"/>
      <c r="Z455" s="413"/>
    </row>
    <row r="456" ht="12.0" customHeight="1">
      <c r="A456" s="413"/>
      <c r="B456" s="413"/>
      <c r="C456" s="413"/>
      <c r="D456" s="414"/>
      <c r="E456" s="414"/>
      <c r="F456" s="414"/>
      <c r="G456" s="414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  <c r="T456" s="413"/>
      <c r="U456" s="413"/>
      <c r="V456" s="413"/>
      <c r="W456" s="413"/>
      <c r="X456" s="413"/>
      <c r="Y456" s="413"/>
      <c r="Z456" s="413"/>
    </row>
    <row r="457" ht="12.0" customHeight="1">
      <c r="A457" s="413"/>
      <c r="B457" s="413"/>
      <c r="C457" s="413"/>
      <c r="D457" s="414"/>
      <c r="E457" s="414"/>
      <c r="F457" s="414"/>
      <c r="G457" s="414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  <c r="T457" s="413"/>
      <c r="U457" s="413"/>
      <c r="V457" s="413"/>
      <c r="W457" s="413"/>
      <c r="X457" s="413"/>
      <c r="Y457" s="413"/>
      <c r="Z457" s="413"/>
    </row>
    <row r="458" ht="12.0" customHeight="1">
      <c r="A458" s="413"/>
      <c r="B458" s="413"/>
      <c r="C458" s="413"/>
      <c r="D458" s="414"/>
      <c r="E458" s="414"/>
      <c r="F458" s="414"/>
      <c r="G458" s="414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  <c r="T458" s="413"/>
      <c r="U458" s="413"/>
      <c r="V458" s="413"/>
      <c r="W458" s="413"/>
      <c r="X458" s="413"/>
      <c r="Y458" s="413"/>
      <c r="Z458" s="413"/>
    </row>
    <row r="459" ht="12.0" customHeight="1">
      <c r="A459" s="413"/>
      <c r="B459" s="413"/>
      <c r="C459" s="413"/>
      <c r="D459" s="414"/>
      <c r="E459" s="414"/>
      <c r="F459" s="414"/>
      <c r="G459" s="414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  <c r="T459" s="413"/>
      <c r="U459" s="413"/>
      <c r="V459" s="413"/>
      <c r="W459" s="413"/>
      <c r="X459" s="413"/>
      <c r="Y459" s="413"/>
      <c r="Z459" s="413"/>
    </row>
    <row r="460" ht="12.0" customHeight="1">
      <c r="A460" s="413"/>
      <c r="B460" s="413"/>
      <c r="C460" s="413"/>
      <c r="D460" s="414"/>
      <c r="E460" s="414"/>
      <c r="F460" s="414"/>
      <c r="G460" s="414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  <c r="T460" s="413"/>
      <c r="U460" s="413"/>
      <c r="V460" s="413"/>
      <c r="W460" s="413"/>
      <c r="X460" s="413"/>
      <c r="Y460" s="413"/>
      <c r="Z460" s="413"/>
    </row>
    <row r="461" ht="12.0" customHeight="1">
      <c r="A461" s="413"/>
      <c r="B461" s="413"/>
      <c r="C461" s="413"/>
      <c r="D461" s="414"/>
      <c r="E461" s="414"/>
      <c r="F461" s="414"/>
      <c r="G461" s="414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  <c r="T461" s="413"/>
      <c r="U461" s="413"/>
      <c r="V461" s="413"/>
      <c r="W461" s="413"/>
      <c r="X461" s="413"/>
      <c r="Y461" s="413"/>
      <c r="Z461" s="413"/>
    </row>
    <row r="462" ht="12.0" customHeight="1">
      <c r="A462" s="413"/>
      <c r="B462" s="413"/>
      <c r="C462" s="413"/>
      <c r="D462" s="414"/>
      <c r="E462" s="414"/>
      <c r="F462" s="414"/>
      <c r="G462" s="414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  <c r="T462" s="413"/>
      <c r="U462" s="413"/>
      <c r="V462" s="413"/>
      <c r="W462" s="413"/>
      <c r="X462" s="413"/>
      <c r="Y462" s="413"/>
      <c r="Z462" s="413"/>
    </row>
    <row r="463" ht="12.0" customHeight="1">
      <c r="A463" s="413"/>
      <c r="B463" s="413"/>
      <c r="C463" s="413"/>
      <c r="D463" s="414"/>
      <c r="E463" s="414"/>
      <c r="F463" s="414"/>
      <c r="G463" s="414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  <c r="T463" s="413"/>
      <c r="U463" s="413"/>
      <c r="V463" s="413"/>
      <c r="W463" s="413"/>
      <c r="X463" s="413"/>
      <c r="Y463" s="413"/>
      <c r="Z463" s="413"/>
    </row>
    <row r="464" ht="12.0" customHeight="1">
      <c r="A464" s="413"/>
      <c r="B464" s="413"/>
      <c r="C464" s="413"/>
      <c r="D464" s="414"/>
      <c r="E464" s="414"/>
      <c r="F464" s="414"/>
      <c r="G464" s="414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  <c r="T464" s="413"/>
      <c r="U464" s="413"/>
      <c r="V464" s="413"/>
      <c r="W464" s="413"/>
      <c r="X464" s="413"/>
      <c r="Y464" s="413"/>
      <c r="Z464" s="413"/>
    </row>
    <row r="465" ht="12.0" customHeight="1">
      <c r="A465" s="413"/>
      <c r="B465" s="413"/>
      <c r="C465" s="413"/>
      <c r="D465" s="414"/>
      <c r="E465" s="414"/>
      <c r="F465" s="414"/>
      <c r="G465" s="414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  <c r="T465" s="413"/>
      <c r="U465" s="413"/>
      <c r="V465" s="413"/>
      <c r="W465" s="413"/>
      <c r="X465" s="413"/>
      <c r="Y465" s="413"/>
      <c r="Z465" s="413"/>
    </row>
    <row r="466" ht="12.0" customHeight="1">
      <c r="A466" s="413"/>
      <c r="B466" s="413"/>
      <c r="C466" s="413"/>
      <c r="D466" s="414"/>
      <c r="E466" s="414"/>
      <c r="F466" s="414"/>
      <c r="G466" s="414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  <c r="T466" s="413"/>
      <c r="U466" s="413"/>
      <c r="V466" s="413"/>
      <c r="W466" s="413"/>
      <c r="X466" s="413"/>
      <c r="Y466" s="413"/>
      <c r="Z466" s="413"/>
    </row>
    <row r="467" ht="12.0" customHeight="1">
      <c r="A467" s="413"/>
      <c r="B467" s="413"/>
      <c r="C467" s="413"/>
      <c r="D467" s="414"/>
      <c r="E467" s="414"/>
      <c r="F467" s="414"/>
      <c r="G467" s="414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  <c r="T467" s="413"/>
      <c r="U467" s="413"/>
      <c r="V467" s="413"/>
      <c r="W467" s="413"/>
      <c r="X467" s="413"/>
      <c r="Y467" s="413"/>
      <c r="Z467" s="413"/>
    </row>
    <row r="468" ht="12.0" customHeight="1">
      <c r="A468" s="413"/>
      <c r="B468" s="413"/>
      <c r="C468" s="413"/>
      <c r="D468" s="414"/>
      <c r="E468" s="414"/>
      <c r="F468" s="414"/>
      <c r="G468" s="414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  <c r="T468" s="413"/>
      <c r="U468" s="413"/>
      <c r="V468" s="413"/>
      <c r="W468" s="413"/>
      <c r="X468" s="413"/>
      <c r="Y468" s="413"/>
      <c r="Z468" s="413"/>
    </row>
    <row r="469" ht="12.0" customHeight="1">
      <c r="A469" s="413"/>
      <c r="B469" s="413"/>
      <c r="C469" s="413"/>
      <c r="D469" s="414"/>
      <c r="E469" s="414"/>
      <c r="F469" s="414"/>
      <c r="G469" s="414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  <c r="T469" s="413"/>
      <c r="U469" s="413"/>
      <c r="V469" s="413"/>
      <c r="W469" s="413"/>
      <c r="X469" s="413"/>
      <c r="Y469" s="413"/>
      <c r="Z469" s="413"/>
    </row>
    <row r="470" ht="12.0" customHeight="1">
      <c r="A470" s="413"/>
      <c r="B470" s="413"/>
      <c r="C470" s="413"/>
      <c r="D470" s="414"/>
      <c r="E470" s="414"/>
      <c r="F470" s="414"/>
      <c r="G470" s="414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  <c r="T470" s="413"/>
      <c r="U470" s="413"/>
      <c r="V470" s="413"/>
      <c r="W470" s="413"/>
      <c r="X470" s="413"/>
      <c r="Y470" s="413"/>
      <c r="Z470" s="413"/>
    </row>
    <row r="471" ht="12.0" customHeight="1">
      <c r="A471" s="413"/>
      <c r="B471" s="413"/>
      <c r="C471" s="413"/>
      <c r="D471" s="414"/>
      <c r="E471" s="414"/>
      <c r="F471" s="414"/>
      <c r="G471" s="414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  <c r="T471" s="413"/>
      <c r="U471" s="413"/>
      <c r="V471" s="413"/>
      <c r="W471" s="413"/>
      <c r="X471" s="413"/>
      <c r="Y471" s="413"/>
      <c r="Z471" s="413"/>
    </row>
    <row r="472" ht="12.0" customHeight="1">
      <c r="A472" s="413"/>
      <c r="B472" s="413"/>
      <c r="C472" s="413"/>
      <c r="D472" s="414"/>
      <c r="E472" s="414"/>
      <c r="F472" s="414"/>
      <c r="G472" s="414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  <c r="T472" s="413"/>
      <c r="U472" s="413"/>
      <c r="V472" s="413"/>
      <c r="W472" s="413"/>
      <c r="X472" s="413"/>
      <c r="Y472" s="413"/>
      <c r="Z472" s="413"/>
    </row>
    <row r="473" ht="12.0" customHeight="1">
      <c r="A473" s="413"/>
      <c r="B473" s="413"/>
      <c r="C473" s="413"/>
      <c r="D473" s="414"/>
      <c r="E473" s="414"/>
      <c r="F473" s="414"/>
      <c r="G473" s="414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  <c r="T473" s="413"/>
      <c r="U473" s="413"/>
      <c r="V473" s="413"/>
      <c r="W473" s="413"/>
      <c r="X473" s="413"/>
      <c r="Y473" s="413"/>
      <c r="Z473" s="413"/>
    </row>
    <row r="474" ht="12.0" customHeight="1">
      <c r="A474" s="413"/>
      <c r="B474" s="413"/>
      <c r="C474" s="413"/>
      <c r="D474" s="414"/>
      <c r="E474" s="414"/>
      <c r="F474" s="414"/>
      <c r="G474" s="414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  <c r="T474" s="413"/>
      <c r="U474" s="413"/>
      <c r="V474" s="413"/>
      <c r="W474" s="413"/>
      <c r="X474" s="413"/>
      <c r="Y474" s="413"/>
      <c r="Z474" s="413"/>
    </row>
    <row r="475" ht="12.0" customHeight="1">
      <c r="A475" s="413"/>
      <c r="B475" s="413"/>
      <c r="C475" s="413"/>
      <c r="D475" s="414"/>
      <c r="E475" s="414"/>
      <c r="F475" s="414"/>
      <c r="G475" s="414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  <c r="T475" s="413"/>
      <c r="U475" s="413"/>
      <c r="V475" s="413"/>
      <c r="W475" s="413"/>
      <c r="X475" s="413"/>
      <c r="Y475" s="413"/>
      <c r="Z475" s="413"/>
    </row>
    <row r="476" ht="12.0" customHeight="1">
      <c r="A476" s="413"/>
      <c r="B476" s="413"/>
      <c r="C476" s="413"/>
      <c r="D476" s="414"/>
      <c r="E476" s="414"/>
      <c r="F476" s="414"/>
      <c r="G476" s="414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  <c r="T476" s="413"/>
      <c r="U476" s="413"/>
      <c r="V476" s="413"/>
      <c r="W476" s="413"/>
      <c r="X476" s="413"/>
      <c r="Y476" s="413"/>
      <c r="Z476" s="413"/>
    </row>
    <row r="477" ht="12.0" customHeight="1">
      <c r="A477" s="413"/>
      <c r="B477" s="413"/>
      <c r="C477" s="413"/>
      <c r="D477" s="414"/>
      <c r="E477" s="414"/>
      <c r="F477" s="414"/>
      <c r="G477" s="414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  <c r="T477" s="413"/>
      <c r="U477" s="413"/>
      <c r="V477" s="413"/>
      <c r="W477" s="413"/>
      <c r="X477" s="413"/>
      <c r="Y477" s="413"/>
      <c r="Z477" s="413"/>
    </row>
    <row r="478" ht="12.0" customHeight="1">
      <c r="A478" s="413"/>
      <c r="B478" s="413"/>
      <c r="C478" s="413"/>
      <c r="D478" s="414"/>
      <c r="E478" s="414"/>
      <c r="F478" s="414"/>
      <c r="G478" s="414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  <c r="T478" s="413"/>
      <c r="U478" s="413"/>
      <c r="V478" s="413"/>
      <c r="W478" s="413"/>
      <c r="X478" s="413"/>
      <c r="Y478" s="413"/>
      <c r="Z478" s="413"/>
    </row>
    <row r="479" ht="12.0" customHeight="1">
      <c r="A479" s="413"/>
      <c r="B479" s="413"/>
      <c r="C479" s="413"/>
      <c r="D479" s="414"/>
      <c r="E479" s="414"/>
      <c r="F479" s="414"/>
      <c r="G479" s="414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  <c r="T479" s="413"/>
      <c r="U479" s="413"/>
      <c r="V479" s="413"/>
      <c r="W479" s="413"/>
      <c r="X479" s="413"/>
      <c r="Y479" s="413"/>
      <c r="Z479" s="413"/>
    </row>
    <row r="480" ht="12.0" customHeight="1">
      <c r="A480" s="413"/>
      <c r="B480" s="413"/>
      <c r="C480" s="413"/>
      <c r="D480" s="414"/>
      <c r="E480" s="414"/>
      <c r="F480" s="414"/>
      <c r="G480" s="414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</row>
    <row r="481" ht="12.0" customHeight="1">
      <c r="A481" s="413"/>
      <c r="B481" s="413"/>
      <c r="C481" s="413"/>
      <c r="D481" s="414"/>
      <c r="E481" s="414"/>
      <c r="F481" s="414"/>
      <c r="G481" s="414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  <c r="T481" s="413"/>
      <c r="U481" s="413"/>
      <c r="V481" s="413"/>
      <c r="W481" s="413"/>
      <c r="X481" s="413"/>
      <c r="Y481" s="413"/>
      <c r="Z481" s="413"/>
    </row>
    <row r="482" ht="12.0" customHeight="1">
      <c r="A482" s="413"/>
      <c r="B482" s="413"/>
      <c r="C482" s="413"/>
      <c r="D482" s="414"/>
      <c r="E482" s="414"/>
      <c r="F482" s="414"/>
      <c r="G482" s="414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3"/>
      <c r="U482" s="413"/>
      <c r="V482" s="413"/>
      <c r="W482" s="413"/>
      <c r="X482" s="413"/>
      <c r="Y482" s="413"/>
      <c r="Z482" s="413"/>
    </row>
    <row r="483" ht="12.0" customHeight="1">
      <c r="A483" s="413"/>
      <c r="B483" s="413"/>
      <c r="C483" s="413"/>
      <c r="D483" s="414"/>
      <c r="E483" s="414"/>
      <c r="F483" s="414"/>
      <c r="G483" s="414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  <c r="T483" s="413"/>
      <c r="U483" s="413"/>
      <c r="V483" s="413"/>
      <c r="W483" s="413"/>
      <c r="X483" s="413"/>
      <c r="Y483" s="413"/>
      <c r="Z483" s="413"/>
    </row>
    <row r="484" ht="12.0" customHeight="1">
      <c r="A484" s="413"/>
      <c r="B484" s="413"/>
      <c r="C484" s="413"/>
      <c r="D484" s="414"/>
      <c r="E484" s="414"/>
      <c r="F484" s="414"/>
      <c r="G484" s="414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  <c r="T484" s="413"/>
      <c r="U484" s="413"/>
      <c r="V484" s="413"/>
      <c r="W484" s="413"/>
      <c r="X484" s="413"/>
      <c r="Y484" s="413"/>
      <c r="Z484" s="413"/>
    </row>
    <row r="485" ht="12.0" customHeight="1">
      <c r="A485" s="413"/>
      <c r="B485" s="413"/>
      <c r="C485" s="413"/>
      <c r="D485" s="414"/>
      <c r="E485" s="414"/>
      <c r="F485" s="414"/>
      <c r="G485" s="414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  <c r="T485" s="413"/>
      <c r="U485" s="413"/>
      <c r="V485" s="413"/>
      <c r="W485" s="413"/>
      <c r="X485" s="413"/>
      <c r="Y485" s="413"/>
      <c r="Z485" s="413"/>
    </row>
    <row r="486" ht="12.0" customHeight="1">
      <c r="A486" s="413"/>
      <c r="B486" s="413"/>
      <c r="C486" s="413"/>
      <c r="D486" s="414"/>
      <c r="E486" s="414"/>
      <c r="F486" s="414"/>
      <c r="G486" s="414"/>
      <c r="H486" s="413"/>
      <c r="I486" s="413"/>
      <c r="J486" s="413"/>
      <c r="K486" s="413"/>
      <c r="L486" s="413"/>
      <c r="M486" s="413"/>
      <c r="N486" s="413"/>
      <c r="O486" s="413"/>
      <c r="P486" s="413"/>
      <c r="Q486" s="413"/>
      <c r="R486" s="413"/>
      <c r="S486" s="413"/>
      <c r="T486" s="413"/>
      <c r="U486" s="413"/>
      <c r="V486" s="413"/>
      <c r="W486" s="413"/>
      <c r="X486" s="413"/>
      <c r="Y486" s="413"/>
      <c r="Z486" s="413"/>
    </row>
    <row r="487" ht="12.0" customHeight="1">
      <c r="A487" s="413"/>
      <c r="B487" s="413"/>
      <c r="C487" s="413"/>
      <c r="D487" s="414"/>
      <c r="E487" s="414"/>
      <c r="F487" s="414"/>
      <c r="G487" s="414"/>
      <c r="H487" s="413"/>
      <c r="I487" s="413"/>
      <c r="J487" s="413"/>
      <c r="K487" s="413"/>
      <c r="L487" s="413"/>
      <c r="M487" s="413"/>
      <c r="N487" s="413"/>
      <c r="O487" s="413"/>
      <c r="P487" s="413"/>
      <c r="Q487" s="413"/>
      <c r="R487" s="413"/>
      <c r="S487" s="413"/>
      <c r="T487" s="413"/>
      <c r="U487" s="413"/>
      <c r="V487" s="413"/>
      <c r="W487" s="413"/>
      <c r="X487" s="413"/>
      <c r="Y487" s="413"/>
      <c r="Z487" s="413"/>
    </row>
    <row r="488" ht="12.0" customHeight="1">
      <c r="A488" s="413"/>
      <c r="B488" s="413"/>
      <c r="C488" s="413"/>
      <c r="D488" s="414"/>
      <c r="E488" s="414"/>
      <c r="F488" s="414"/>
      <c r="G488" s="414"/>
      <c r="H488" s="413"/>
      <c r="I488" s="413"/>
      <c r="J488" s="413"/>
      <c r="K488" s="413"/>
      <c r="L488" s="413"/>
      <c r="M488" s="413"/>
      <c r="N488" s="413"/>
      <c r="O488" s="413"/>
      <c r="P488" s="413"/>
      <c r="Q488" s="413"/>
      <c r="R488" s="413"/>
      <c r="S488" s="413"/>
      <c r="T488" s="413"/>
      <c r="U488" s="413"/>
      <c r="V488" s="413"/>
      <c r="W488" s="413"/>
      <c r="X488" s="413"/>
      <c r="Y488" s="413"/>
      <c r="Z488" s="413"/>
    </row>
    <row r="489" ht="12.0" customHeight="1">
      <c r="A489" s="413"/>
      <c r="B489" s="413"/>
      <c r="C489" s="413"/>
      <c r="D489" s="414"/>
      <c r="E489" s="414"/>
      <c r="F489" s="414"/>
      <c r="G489" s="414"/>
      <c r="H489" s="413"/>
      <c r="I489" s="413"/>
      <c r="J489" s="413"/>
      <c r="K489" s="413"/>
      <c r="L489" s="413"/>
      <c r="M489" s="413"/>
      <c r="N489" s="413"/>
      <c r="O489" s="413"/>
      <c r="P489" s="413"/>
      <c r="Q489" s="413"/>
      <c r="R489" s="413"/>
      <c r="S489" s="413"/>
      <c r="T489" s="413"/>
      <c r="U489" s="413"/>
      <c r="V489" s="413"/>
      <c r="W489" s="413"/>
      <c r="X489" s="413"/>
      <c r="Y489" s="413"/>
      <c r="Z489" s="413"/>
    </row>
    <row r="490" ht="12.0" customHeight="1">
      <c r="A490" s="413"/>
      <c r="B490" s="413"/>
      <c r="C490" s="413"/>
      <c r="D490" s="414"/>
      <c r="E490" s="414"/>
      <c r="F490" s="414"/>
      <c r="G490" s="414"/>
      <c r="H490" s="413"/>
      <c r="I490" s="413"/>
      <c r="J490" s="413"/>
      <c r="K490" s="413"/>
      <c r="L490" s="413"/>
      <c r="M490" s="413"/>
      <c r="N490" s="413"/>
      <c r="O490" s="413"/>
      <c r="P490" s="413"/>
      <c r="Q490" s="413"/>
      <c r="R490" s="413"/>
      <c r="S490" s="413"/>
      <c r="T490" s="413"/>
      <c r="U490" s="413"/>
      <c r="V490" s="413"/>
      <c r="W490" s="413"/>
      <c r="X490" s="413"/>
      <c r="Y490" s="413"/>
      <c r="Z490" s="413"/>
    </row>
    <row r="491" ht="12.0" customHeight="1">
      <c r="A491" s="413"/>
      <c r="B491" s="413"/>
      <c r="C491" s="413"/>
      <c r="D491" s="414"/>
      <c r="E491" s="414"/>
      <c r="F491" s="414"/>
      <c r="G491" s="414"/>
      <c r="H491" s="413"/>
      <c r="I491" s="413"/>
      <c r="J491" s="413"/>
      <c r="K491" s="413"/>
      <c r="L491" s="413"/>
      <c r="M491" s="413"/>
      <c r="N491" s="413"/>
      <c r="O491" s="413"/>
      <c r="P491" s="413"/>
      <c r="Q491" s="413"/>
      <c r="R491" s="413"/>
      <c r="S491" s="413"/>
      <c r="T491" s="413"/>
      <c r="U491" s="413"/>
      <c r="V491" s="413"/>
      <c r="W491" s="413"/>
      <c r="X491" s="413"/>
      <c r="Y491" s="413"/>
      <c r="Z491" s="413"/>
    </row>
    <row r="492" ht="12.0" customHeight="1">
      <c r="A492" s="413"/>
      <c r="B492" s="413"/>
      <c r="C492" s="413"/>
      <c r="D492" s="414"/>
      <c r="E492" s="414"/>
      <c r="F492" s="414"/>
      <c r="G492" s="414"/>
      <c r="H492" s="413"/>
      <c r="I492" s="413"/>
      <c r="J492" s="413"/>
      <c r="K492" s="413"/>
      <c r="L492" s="413"/>
      <c r="M492" s="413"/>
      <c r="N492" s="413"/>
      <c r="O492" s="413"/>
      <c r="P492" s="413"/>
      <c r="Q492" s="413"/>
      <c r="R492" s="413"/>
      <c r="S492" s="413"/>
      <c r="T492" s="413"/>
      <c r="U492" s="413"/>
      <c r="V492" s="413"/>
      <c r="W492" s="413"/>
      <c r="X492" s="413"/>
      <c r="Y492" s="413"/>
      <c r="Z492" s="413"/>
    </row>
    <row r="493" ht="12.0" customHeight="1">
      <c r="A493" s="413"/>
      <c r="B493" s="413"/>
      <c r="C493" s="413"/>
      <c r="D493" s="414"/>
      <c r="E493" s="414"/>
      <c r="F493" s="414"/>
      <c r="G493" s="414"/>
      <c r="H493" s="413"/>
      <c r="I493" s="413"/>
      <c r="J493" s="413"/>
      <c r="K493" s="413"/>
      <c r="L493" s="413"/>
      <c r="M493" s="413"/>
      <c r="N493" s="413"/>
      <c r="O493" s="413"/>
      <c r="P493" s="413"/>
      <c r="Q493" s="413"/>
      <c r="R493" s="413"/>
      <c r="S493" s="413"/>
      <c r="T493" s="413"/>
      <c r="U493" s="413"/>
      <c r="V493" s="413"/>
      <c r="W493" s="413"/>
      <c r="X493" s="413"/>
      <c r="Y493" s="413"/>
      <c r="Z493" s="413"/>
    </row>
    <row r="494" ht="12.0" customHeight="1">
      <c r="A494" s="413"/>
      <c r="B494" s="413"/>
      <c r="C494" s="413"/>
      <c r="D494" s="414"/>
      <c r="E494" s="414"/>
      <c r="F494" s="414"/>
      <c r="G494" s="414"/>
      <c r="H494" s="413"/>
      <c r="I494" s="413"/>
      <c r="J494" s="413"/>
      <c r="K494" s="413"/>
      <c r="L494" s="413"/>
      <c r="M494" s="413"/>
      <c r="N494" s="413"/>
      <c r="O494" s="413"/>
      <c r="P494" s="413"/>
      <c r="Q494" s="413"/>
      <c r="R494" s="413"/>
      <c r="S494" s="413"/>
      <c r="T494" s="413"/>
      <c r="U494" s="413"/>
      <c r="V494" s="413"/>
      <c r="W494" s="413"/>
      <c r="X494" s="413"/>
      <c r="Y494" s="413"/>
      <c r="Z494" s="413"/>
    </row>
    <row r="495" ht="12.0" customHeight="1">
      <c r="A495" s="413"/>
      <c r="B495" s="413"/>
      <c r="C495" s="413"/>
      <c r="D495" s="414"/>
      <c r="E495" s="414"/>
      <c r="F495" s="414"/>
      <c r="G495" s="414"/>
      <c r="H495" s="413"/>
      <c r="I495" s="413"/>
      <c r="J495" s="413"/>
      <c r="K495" s="413"/>
      <c r="L495" s="413"/>
      <c r="M495" s="413"/>
      <c r="N495" s="413"/>
      <c r="O495" s="413"/>
      <c r="P495" s="413"/>
      <c r="Q495" s="413"/>
      <c r="R495" s="413"/>
      <c r="S495" s="413"/>
      <c r="T495" s="413"/>
      <c r="U495" s="413"/>
      <c r="V495" s="413"/>
      <c r="W495" s="413"/>
      <c r="X495" s="413"/>
      <c r="Y495" s="413"/>
      <c r="Z495" s="413"/>
    </row>
    <row r="496" ht="12.0" customHeight="1">
      <c r="A496" s="413"/>
      <c r="B496" s="413"/>
      <c r="C496" s="413"/>
      <c r="D496" s="414"/>
      <c r="E496" s="414"/>
      <c r="F496" s="414"/>
      <c r="G496" s="414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  <c r="T496" s="413"/>
      <c r="U496" s="413"/>
      <c r="V496" s="413"/>
      <c r="W496" s="413"/>
      <c r="X496" s="413"/>
      <c r="Y496" s="413"/>
      <c r="Z496" s="413"/>
    </row>
    <row r="497" ht="12.0" customHeight="1">
      <c r="A497" s="413"/>
      <c r="B497" s="413"/>
      <c r="C497" s="413"/>
      <c r="D497" s="414"/>
      <c r="E497" s="414"/>
      <c r="F497" s="414"/>
      <c r="G497" s="414"/>
      <c r="H497" s="413"/>
      <c r="I497" s="413"/>
      <c r="J497" s="413"/>
      <c r="K497" s="413"/>
      <c r="L497" s="413"/>
      <c r="M497" s="413"/>
      <c r="N497" s="413"/>
      <c r="O497" s="413"/>
      <c r="P497" s="413"/>
      <c r="Q497" s="413"/>
      <c r="R497" s="413"/>
      <c r="S497" s="413"/>
      <c r="T497" s="413"/>
      <c r="U497" s="413"/>
      <c r="V497" s="413"/>
      <c r="W497" s="413"/>
      <c r="X497" s="413"/>
      <c r="Y497" s="413"/>
      <c r="Z497" s="413"/>
    </row>
    <row r="498" ht="12.0" customHeight="1">
      <c r="A498" s="413"/>
      <c r="B498" s="413"/>
      <c r="C498" s="413"/>
      <c r="D498" s="414"/>
      <c r="E498" s="414"/>
      <c r="F498" s="414"/>
      <c r="G498" s="414"/>
      <c r="H498" s="413"/>
      <c r="I498" s="413"/>
      <c r="J498" s="413"/>
      <c r="K498" s="413"/>
      <c r="L498" s="413"/>
      <c r="M498" s="413"/>
      <c r="N498" s="413"/>
      <c r="O498" s="413"/>
      <c r="P498" s="413"/>
      <c r="Q498" s="413"/>
      <c r="R498" s="413"/>
      <c r="S498" s="413"/>
      <c r="T498" s="413"/>
      <c r="U498" s="413"/>
      <c r="V498" s="413"/>
      <c r="W498" s="413"/>
      <c r="X498" s="413"/>
      <c r="Y498" s="413"/>
      <c r="Z498" s="413"/>
    </row>
    <row r="499" ht="12.0" customHeight="1">
      <c r="A499" s="413"/>
      <c r="B499" s="413"/>
      <c r="C499" s="413"/>
      <c r="D499" s="414"/>
      <c r="E499" s="414"/>
      <c r="F499" s="414"/>
      <c r="G499" s="414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  <c r="T499" s="413"/>
      <c r="U499" s="413"/>
      <c r="V499" s="413"/>
      <c r="W499" s="413"/>
      <c r="X499" s="413"/>
      <c r="Y499" s="413"/>
      <c r="Z499" s="413"/>
    </row>
    <row r="500" ht="12.0" customHeight="1">
      <c r="A500" s="413"/>
      <c r="B500" s="413"/>
      <c r="C500" s="413"/>
      <c r="D500" s="414"/>
      <c r="E500" s="414"/>
      <c r="F500" s="414"/>
      <c r="G500" s="414"/>
      <c r="H500" s="413"/>
      <c r="I500" s="413"/>
      <c r="J500" s="413"/>
      <c r="K500" s="413"/>
      <c r="L500" s="413"/>
      <c r="M500" s="413"/>
      <c r="N500" s="413"/>
      <c r="O500" s="413"/>
      <c r="P500" s="413"/>
      <c r="Q500" s="413"/>
      <c r="R500" s="413"/>
      <c r="S500" s="413"/>
      <c r="T500" s="413"/>
      <c r="U500" s="413"/>
      <c r="V500" s="413"/>
      <c r="W500" s="413"/>
      <c r="X500" s="413"/>
      <c r="Y500" s="413"/>
      <c r="Z500" s="413"/>
    </row>
    <row r="501" ht="12.0" customHeight="1">
      <c r="A501" s="413"/>
      <c r="B501" s="413"/>
      <c r="C501" s="413"/>
      <c r="D501" s="414"/>
      <c r="E501" s="414"/>
      <c r="F501" s="414"/>
      <c r="G501" s="414"/>
      <c r="H501" s="413"/>
      <c r="I501" s="413"/>
      <c r="J501" s="413"/>
      <c r="K501" s="413"/>
      <c r="L501" s="413"/>
      <c r="M501" s="413"/>
      <c r="N501" s="413"/>
      <c r="O501" s="413"/>
      <c r="P501" s="413"/>
      <c r="Q501" s="413"/>
      <c r="R501" s="413"/>
      <c r="S501" s="413"/>
      <c r="T501" s="413"/>
      <c r="U501" s="413"/>
      <c r="V501" s="413"/>
      <c r="W501" s="413"/>
      <c r="X501" s="413"/>
      <c r="Y501" s="413"/>
      <c r="Z501" s="413"/>
    </row>
    <row r="502" ht="12.0" customHeight="1">
      <c r="A502" s="413"/>
      <c r="B502" s="413"/>
      <c r="C502" s="413"/>
      <c r="D502" s="414"/>
      <c r="E502" s="414"/>
      <c r="F502" s="414"/>
      <c r="G502" s="414"/>
      <c r="H502" s="413"/>
      <c r="I502" s="413"/>
      <c r="J502" s="413"/>
      <c r="K502" s="413"/>
      <c r="L502" s="413"/>
      <c r="M502" s="413"/>
      <c r="N502" s="413"/>
      <c r="O502" s="413"/>
      <c r="P502" s="413"/>
      <c r="Q502" s="413"/>
      <c r="R502" s="413"/>
      <c r="S502" s="413"/>
      <c r="T502" s="413"/>
      <c r="U502" s="413"/>
      <c r="V502" s="413"/>
      <c r="W502" s="413"/>
      <c r="X502" s="413"/>
      <c r="Y502" s="413"/>
      <c r="Z502" s="413"/>
    </row>
    <row r="503" ht="12.0" customHeight="1">
      <c r="A503" s="413"/>
      <c r="B503" s="413"/>
      <c r="C503" s="413"/>
      <c r="D503" s="414"/>
      <c r="E503" s="414"/>
      <c r="F503" s="414"/>
      <c r="G503" s="414"/>
      <c r="H503" s="413"/>
      <c r="I503" s="413"/>
      <c r="J503" s="413"/>
      <c r="K503" s="413"/>
      <c r="L503" s="413"/>
      <c r="M503" s="413"/>
      <c r="N503" s="413"/>
      <c r="O503" s="413"/>
      <c r="P503" s="413"/>
      <c r="Q503" s="413"/>
      <c r="R503" s="413"/>
      <c r="S503" s="413"/>
      <c r="T503" s="413"/>
      <c r="U503" s="413"/>
      <c r="V503" s="413"/>
      <c r="W503" s="413"/>
      <c r="X503" s="413"/>
      <c r="Y503" s="413"/>
      <c r="Z503" s="413"/>
    </row>
    <row r="504" ht="12.0" customHeight="1">
      <c r="A504" s="413"/>
      <c r="B504" s="413"/>
      <c r="C504" s="413"/>
      <c r="D504" s="414"/>
      <c r="E504" s="414"/>
      <c r="F504" s="414"/>
      <c r="G504" s="414"/>
      <c r="H504" s="413"/>
      <c r="I504" s="413"/>
      <c r="J504" s="413"/>
      <c r="K504" s="413"/>
      <c r="L504" s="413"/>
      <c r="M504" s="413"/>
      <c r="N504" s="413"/>
      <c r="O504" s="413"/>
      <c r="P504" s="413"/>
      <c r="Q504" s="413"/>
      <c r="R504" s="413"/>
      <c r="S504" s="413"/>
      <c r="T504" s="413"/>
      <c r="U504" s="413"/>
      <c r="V504" s="413"/>
      <c r="W504" s="413"/>
      <c r="X504" s="413"/>
      <c r="Y504" s="413"/>
      <c r="Z504" s="413"/>
    </row>
    <row r="505" ht="12.0" customHeight="1">
      <c r="A505" s="413"/>
      <c r="B505" s="413"/>
      <c r="C505" s="413"/>
      <c r="D505" s="414"/>
      <c r="E505" s="414"/>
      <c r="F505" s="414"/>
      <c r="G505" s="414"/>
      <c r="H505" s="413"/>
      <c r="I505" s="413"/>
      <c r="J505" s="413"/>
      <c r="K505" s="413"/>
      <c r="L505" s="413"/>
      <c r="M505" s="413"/>
      <c r="N505" s="413"/>
      <c r="O505" s="413"/>
      <c r="P505" s="413"/>
      <c r="Q505" s="413"/>
      <c r="R505" s="413"/>
      <c r="S505" s="413"/>
      <c r="T505" s="413"/>
      <c r="U505" s="413"/>
      <c r="V505" s="413"/>
      <c r="W505" s="413"/>
      <c r="X505" s="413"/>
      <c r="Y505" s="413"/>
      <c r="Z505" s="413"/>
    </row>
    <row r="506" ht="12.0" customHeight="1">
      <c r="A506" s="413"/>
      <c r="B506" s="413"/>
      <c r="C506" s="413"/>
      <c r="D506" s="414"/>
      <c r="E506" s="414"/>
      <c r="F506" s="414"/>
      <c r="G506" s="414"/>
      <c r="H506" s="413"/>
      <c r="I506" s="413"/>
      <c r="J506" s="413"/>
      <c r="K506" s="413"/>
      <c r="L506" s="413"/>
      <c r="M506" s="413"/>
      <c r="N506" s="413"/>
      <c r="O506" s="413"/>
      <c r="P506" s="413"/>
      <c r="Q506" s="413"/>
      <c r="R506" s="413"/>
      <c r="S506" s="413"/>
      <c r="T506" s="413"/>
      <c r="U506" s="413"/>
      <c r="V506" s="413"/>
      <c r="W506" s="413"/>
      <c r="X506" s="413"/>
      <c r="Y506" s="413"/>
      <c r="Z506" s="413"/>
    </row>
    <row r="507" ht="12.0" customHeight="1">
      <c r="A507" s="413"/>
      <c r="B507" s="413"/>
      <c r="C507" s="413"/>
      <c r="D507" s="414"/>
      <c r="E507" s="414"/>
      <c r="F507" s="414"/>
      <c r="G507" s="414"/>
      <c r="H507" s="413"/>
      <c r="I507" s="413"/>
      <c r="J507" s="413"/>
      <c r="K507" s="413"/>
      <c r="L507" s="413"/>
      <c r="M507" s="413"/>
      <c r="N507" s="413"/>
      <c r="O507" s="413"/>
      <c r="P507" s="413"/>
      <c r="Q507" s="413"/>
      <c r="R507" s="413"/>
      <c r="S507" s="413"/>
      <c r="T507" s="413"/>
      <c r="U507" s="413"/>
      <c r="V507" s="413"/>
      <c r="W507" s="413"/>
      <c r="X507" s="413"/>
      <c r="Y507" s="413"/>
      <c r="Z507" s="413"/>
    </row>
    <row r="508" ht="12.0" customHeight="1">
      <c r="A508" s="413"/>
      <c r="B508" s="413"/>
      <c r="C508" s="413"/>
      <c r="D508" s="414"/>
      <c r="E508" s="414"/>
      <c r="F508" s="414"/>
      <c r="G508" s="414"/>
      <c r="H508" s="413"/>
      <c r="I508" s="413"/>
      <c r="J508" s="413"/>
      <c r="K508" s="413"/>
      <c r="L508" s="413"/>
      <c r="M508" s="413"/>
      <c r="N508" s="413"/>
      <c r="O508" s="413"/>
      <c r="P508" s="413"/>
      <c r="Q508" s="413"/>
      <c r="R508" s="413"/>
      <c r="S508" s="413"/>
      <c r="T508" s="413"/>
      <c r="U508" s="413"/>
      <c r="V508" s="413"/>
      <c r="W508" s="413"/>
      <c r="X508" s="413"/>
      <c r="Y508" s="413"/>
      <c r="Z508" s="413"/>
    </row>
    <row r="509" ht="12.0" customHeight="1">
      <c r="A509" s="413"/>
      <c r="B509" s="413"/>
      <c r="C509" s="413"/>
      <c r="D509" s="414"/>
      <c r="E509" s="414"/>
      <c r="F509" s="414"/>
      <c r="G509" s="414"/>
      <c r="H509" s="413"/>
      <c r="I509" s="413"/>
      <c r="J509" s="413"/>
      <c r="K509" s="413"/>
      <c r="L509" s="413"/>
      <c r="M509" s="413"/>
      <c r="N509" s="413"/>
      <c r="O509" s="413"/>
      <c r="P509" s="413"/>
      <c r="Q509" s="413"/>
      <c r="R509" s="413"/>
      <c r="S509" s="413"/>
      <c r="T509" s="413"/>
      <c r="U509" s="413"/>
      <c r="V509" s="413"/>
      <c r="W509" s="413"/>
      <c r="X509" s="413"/>
      <c r="Y509" s="413"/>
      <c r="Z509" s="413"/>
    </row>
    <row r="510" ht="12.0" customHeight="1">
      <c r="A510" s="413"/>
      <c r="B510" s="413"/>
      <c r="C510" s="413"/>
      <c r="D510" s="414"/>
      <c r="E510" s="414"/>
      <c r="F510" s="414"/>
      <c r="G510" s="414"/>
      <c r="H510" s="413"/>
      <c r="I510" s="413"/>
      <c r="J510" s="413"/>
      <c r="K510" s="413"/>
      <c r="L510" s="413"/>
      <c r="M510" s="413"/>
      <c r="N510" s="413"/>
      <c r="O510" s="413"/>
      <c r="P510" s="413"/>
      <c r="Q510" s="413"/>
      <c r="R510" s="413"/>
      <c r="S510" s="413"/>
      <c r="T510" s="413"/>
      <c r="U510" s="413"/>
      <c r="V510" s="413"/>
      <c r="W510" s="413"/>
      <c r="X510" s="413"/>
      <c r="Y510" s="413"/>
      <c r="Z510" s="413"/>
    </row>
    <row r="511" ht="12.0" customHeight="1">
      <c r="A511" s="413"/>
      <c r="B511" s="413"/>
      <c r="C511" s="413"/>
      <c r="D511" s="414"/>
      <c r="E511" s="414"/>
      <c r="F511" s="414"/>
      <c r="G511" s="414"/>
      <c r="H511" s="413"/>
      <c r="I511" s="413"/>
      <c r="J511" s="413"/>
      <c r="K511" s="413"/>
      <c r="L511" s="413"/>
      <c r="M511" s="413"/>
      <c r="N511" s="413"/>
      <c r="O511" s="413"/>
      <c r="P511" s="413"/>
      <c r="Q511" s="413"/>
      <c r="R511" s="413"/>
      <c r="S511" s="413"/>
      <c r="T511" s="413"/>
      <c r="U511" s="413"/>
      <c r="V511" s="413"/>
      <c r="W511" s="413"/>
      <c r="X511" s="413"/>
      <c r="Y511" s="413"/>
      <c r="Z511" s="413"/>
    </row>
    <row r="512" ht="12.0" customHeight="1">
      <c r="A512" s="413"/>
      <c r="B512" s="413"/>
      <c r="C512" s="413"/>
      <c r="D512" s="414"/>
      <c r="E512" s="414"/>
      <c r="F512" s="414"/>
      <c r="G512" s="414"/>
      <c r="H512" s="413"/>
      <c r="I512" s="413"/>
      <c r="J512" s="413"/>
      <c r="K512" s="413"/>
      <c r="L512" s="413"/>
      <c r="M512" s="413"/>
      <c r="N512" s="413"/>
      <c r="O512" s="413"/>
      <c r="P512" s="413"/>
      <c r="Q512" s="413"/>
      <c r="R512" s="413"/>
      <c r="S512" s="413"/>
      <c r="T512" s="413"/>
      <c r="U512" s="413"/>
      <c r="V512" s="413"/>
      <c r="W512" s="413"/>
      <c r="X512" s="413"/>
      <c r="Y512" s="413"/>
      <c r="Z512" s="413"/>
    </row>
    <row r="513" ht="12.0" customHeight="1">
      <c r="A513" s="413"/>
      <c r="B513" s="413"/>
      <c r="C513" s="413"/>
      <c r="D513" s="414"/>
      <c r="E513" s="414"/>
      <c r="F513" s="414"/>
      <c r="G513" s="414"/>
      <c r="H513" s="413"/>
      <c r="I513" s="413"/>
      <c r="J513" s="413"/>
      <c r="K513" s="413"/>
      <c r="L513" s="413"/>
      <c r="M513" s="413"/>
      <c r="N513" s="413"/>
      <c r="O513" s="413"/>
      <c r="P513" s="413"/>
      <c r="Q513" s="413"/>
      <c r="R513" s="413"/>
      <c r="S513" s="413"/>
      <c r="T513" s="413"/>
      <c r="U513" s="413"/>
      <c r="V513" s="413"/>
      <c r="W513" s="413"/>
      <c r="X513" s="413"/>
      <c r="Y513" s="413"/>
      <c r="Z513" s="413"/>
    </row>
    <row r="514" ht="12.0" customHeight="1">
      <c r="A514" s="413"/>
      <c r="B514" s="413"/>
      <c r="C514" s="413"/>
      <c r="D514" s="414"/>
      <c r="E514" s="414"/>
      <c r="F514" s="414"/>
      <c r="G514" s="414"/>
      <c r="H514" s="413"/>
      <c r="I514" s="413"/>
      <c r="J514" s="413"/>
      <c r="K514" s="413"/>
      <c r="L514" s="413"/>
      <c r="M514" s="413"/>
      <c r="N514" s="413"/>
      <c r="O514" s="413"/>
      <c r="P514" s="413"/>
      <c r="Q514" s="413"/>
      <c r="R514" s="413"/>
      <c r="S514" s="413"/>
      <c r="T514" s="413"/>
      <c r="U514" s="413"/>
      <c r="V514" s="413"/>
      <c r="W514" s="413"/>
      <c r="X514" s="413"/>
      <c r="Y514" s="413"/>
      <c r="Z514" s="413"/>
    </row>
    <row r="515" ht="12.0" customHeight="1">
      <c r="A515" s="413"/>
      <c r="B515" s="413"/>
      <c r="C515" s="413"/>
      <c r="D515" s="414"/>
      <c r="E515" s="414"/>
      <c r="F515" s="414"/>
      <c r="G515" s="414"/>
      <c r="H515" s="413"/>
      <c r="I515" s="413"/>
      <c r="J515" s="413"/>
      <c r="K515" s="413"/>
      <c r="L515" s="413"/>
      <c r="M515" s="413"/>
      <c r="N515" s="413"/>
      <c r="O515" s="413"/>
      <c r="P515" s="413"/>
      <c r="Q515" s="413"/>
      <c r="R515" s="413"/>
      <c r="S515" s="413"/>
      <c r="T515" s="413"/>
      <c r="U515" s="413"/>
      <c r="V515" s="413"/>
      <c r="W515" s="413"/>
      <c r="X515" s="413"/>
      <c r="Y515" s="413"/>
      <c r="Z515" s="413"/>
    </row>
    <row r="516" ht="12.0" customHeight="1">
      <c r="A516" s="413"/>
      <c r="B516" s="413"/>
      <c r="C516" s="413"/>
      <c r="D516" s="414"/>
      <c r="E516" s="414"/>
      <c r="F516" s="414"/>
      <c r="G516" s="414"/>
      <c r="H516" s="413"/>
      <c r="I516" s="413"/>
      <c r="J516" s="413"/>
      <c r="K516" s="413"/>
      <c r="L516" s="413"/>
      <c r="M516" s="413"/>
      <c r="N516" s="413"/>
      <c r="O516" s="413"/>
      <c r="P516" s="413"/>
      <c r="Q516" s="413"/>
      <c r="R516" s="413"/>
      <c r="S516" s="413"/>
      <c r="T516" s="413"/>
      <c r="U516" s="413"/>
      <c r="V516" s="413"/>
      <c r="W516" s="413"/>
      <c r="X516" s="413"/>
      <c r="Y516" s="413"/>
      <c r="Z516" s="413"/>
    </row>
    <row r="517" ht="12.0" customHeight="1">
      <c r="A517" s="413"/>
      <c r="B517" s="413"/>
      <c r="C517" s="413"/>
      <c r="D517" s="414"/>
      <c r="E517" s="414"/>
      <c r="F517" s="414"/>
      <c r="G517" s="414"/>
      <c r="H517" s="413"/>
      <c r="I517" s="413"/>
      <c r="J517" s="413"/>
      <c r="K517" s="413"/>
      <c r="L517" s="413"/>
      <c r="M517" s="413"/>
      <c r="N517" s="413"/>
      <c r="O517" s="413"/>
      <c r="P517" s="413"/>
      <c r="Q517" s="413"/>
      <c r="R517" s="413"/>
      <c r="S517" s="413"/>
      <c r="T517" s="413"/>
      <c r="U517" s="413"/>
      <c r="V517" s="413"/>
      <c r="W517" s="413"/>
      <c r="X517" s="413"/>
      <c r="Y517" s="413"/>
      <c r="Z517" s="413"/>
    </row>
    <row r="518" ht="12.0" customHeight="1">
      <c r="A518" s="413"/>
      <c r="B518" s="413"/>
      <c r="C518" s="413"/>
      <c r="D518" s="414"/>
      <c r="E518" s="414"/>
      <c r="F518" s="414"/>
      <c r="G518" s="414"/>
      <c r="H518" s="413"/>
      <c r="I518" s="413"/>
      <c r="J518" s="413"/>
      <c r="K518" s="413"/>
      <c r="L518" s="413"/>
      <c r="M518" s="413"/>
      <c r="N518" s="413"/>
      <c r="O518" s="413"/>
      <c r="P518" s="413"/>
      <c r="Q518" s="413"/>
      <c r="R518" s="413"/>
      <c r="S518" s="413"/>
      <c r="T518" s="413"/>
      <c r="U518" s="413"/>
      <c r="V518" s="413"/>
      <c r="W518" s="413"/>
      <c r="X518" s="413"/>
      <c r="Y518" s="413"/>
      <c r="Z518" s="413"/>
    </row>
    <row r="519" ht="12.0" customHeight="1">
      <c r="A519" s="413"/>
      <c r="B519" s="413"/>
      <c r="C519" s="413"/>
      <c r="D519" s="414"/>
      <c r="E519" s="414"/>
      <c r="F519" s="414"/>
      <c r="G519" s="414"/>
      <c r="H519" s="413"/>
      <c r="I519" s="413"/>
      <c r="J519" s="413"/>
      <c r="K519" s="413"/>
      <c r="L519" s="413"/>
      <c r="M519" s="413"/>
      <c r="N519" s="413"/>
      <c r="O519" s="413"/>
      <c r="P519" s="413"/>
      <c r="Q519" s="413"/>
      <c r="R519" s="413"/>
      <c r="S519" s="413"/>
      <c r="T519" s="413"/>
      <c r="U519" s="413"/>
      <c r="V519" s="413"/>
      <c r="W519" s="413"/>
      <c r="X519" s="413"/>
      <c r="Y519" s="413"/>
      <c r="Z519" s="413"/>
    </row>
    <row r="520" ht="12.0" customHeight="1">
      <c r="A520" s="413"/>
      <c r="B520" s="413"/>
      <c r="C520" s="413"/>
      <c r="D520" s="414"/>
      <c r="E520" s="414"/>
      <c r="F520" s="414"/>
      <c r="G520" s="414"/>
      <c r="H520" s="413"/>
      <c r="I520" s="413"/>
      <c r="J520" s="413"/>
      <c r="K520" s="413"/>
      <c r="L520" s="413"/>
      <c r="M520" s="413"/>
      <c r="N520" s="413"/>
      <c r="O520" s="413"/>
      <c r="P520" s="413"/>
      <c r="Q520" s="413"/>
      <c r="R520" s="413"/>
      <c r="S520" s="413"/>
      <c r="T520" s="413"/>
      <c r="U520" s="413"/>
      <c r="V520" s="413"/>
      <c r="W520" s="413"/>
      <c r="X520" s="413"/>
      <c r="Y520" s="413"/>
      <c r="Z520" s="413"/>
    </row>
    <row r="521" ht="12.0" customHeight="1">
      <c r="A521" s="413"/>
      <c r="B521" s="413"/>
      <c r="C521" s="413"/>
      <c r="D521" s="414"/>
      <c r="E521" s="414"/>
      <c r="F521" s="414"/>
      <c r="G521" s="414"/>
      <c r="H521" s="413"/>
      <c r="I521" s="413"/>
      <c r="J521" s="413"/>
      <c r="K521" s="413"/>
      <c r="L521" s="413"/>
      <c r="M521" s="413"/>
      <c r="N521" s="413"/>
      <c r="O521" s="413"/>
      <c r="P521" s="413"/>
      <c r="Q521" s="413"/>
      <c r="R521" s="413"/>
      <c r="S521" s="413"/>
      <c r="T521" s="413"/>
      <c r="U521" s="413"/>
      <c r="V521" s="413"/>
      <c r="W521" s="413"/>
      <c r="X521" s="413"/>
      <c r="Y521" s="413"/>
      <c r="Z521" s="413"/>
    </row>
    <row r="522" ht="12.0" customHeight="1">
      <c r="A522" s="413"/>
      <c r="B522" s="413"/>
      <c r="C522" s="413"/>
      <c r="D522" s="414"/>
      <c r="E522" s="414"/>
      <c r="F522" s="414"/>
      <c r="G522" s="414"/>
      <c r="H522" s="413"/>
      <c r="I522" s="413"/>
      <c r="J522" s="413"/>
      <c r="K522" s="413"/>
      <c r="L522" s="413"/>
      <c r="M522" s="413"/>
      <c r="N522" s="413"/>
      <c r="O522" s="413"/>
      <c r="P522" s="413"/>
      <c r="Q522" s="413"/>
      <c r="R522" s="413"/>
      <c r="S522" s="413"/>
      <c r="T522" s="413"/>
      <c r="U522" s="413"/>
      <c r="V522" s="413"/>
      <c r="W522" s="413"/>
      <c r="X522" s="413"/>
      <c r="Y522" s="413"/>
      <c r="Z522" s="413"/>
    </row>
    <row r="523" ht="12.0" customHeight="1">
      <c r="A523" s="413"/>
      <c r="B523" s="413"/>
      <c r="C523" s="413"/>
      <c r="D523" s="414"/>
      <c r="E523" s="414"/>
      <c r="F523" s="414"/>
      <c r="G523" s="414"/>
      <c r="H523" s="413"/>
      <c r="I523" s="413"/>
      <c r="J523" s="413"/>
      <c r="K523" s="413"/>
      <c r="L523" s="413"/>
      <c r="M523" s="413"/>
      <c r="N523" s="413"/>
      <c r="O523" s="413"/>
      <c r="P523" s="413"/>
      <c r="Q523" s="413"/>
      <c r="R523" s="413"/>
      <c r="S523" s="413"/>
      <c r="T523" s="413"/>
      <c r="U523" s="413"/>
      <c r="V523" s="413"/>
      <c r="W523" s="413"/>
      <c r="X523" s="413"/>
      <c r="Y523" s="413"/>
      <c r="Z523" s="413"/>
    </row>
    <row r="524" ht="12.0" customHeight="1">
      <c r="A524" s="413"/>
      <c r="B524" s="413"/>
      <c r="C524" s="413"/>
      <c r="D524" s="414"/>
      <c r="E524" s="414"/>
      <c r="F524" s="414"/>
      <c r="G524" s="414"/>
      <c r="H524" s="413"/>
      <c r="I524" s="413"/>
      <c r="J524" s="413"/>
      <c r="K524" s="413"/>
      <c r="L524" s="413"/>
      <c r="M524" s="413"/>
      <c r="N524" s="413"/>
      <c r="O524" s="413"/>
      <c r="P524" s="413"/>
      <c r="Q524" s="413"/>
      <c r="R524" s="413"/>
      <c r="S524" s="413"/>
      <c r="T524" s="413"/>
      <c r="U524" s="413"/>
      <c r="V524" s="413"/>
      <c r="W524" s="413"/>
      <c r="X524" s="413"/>
      <c r="Y524" s="413"/>
      <c r="Z524" s="413"/>
    </row>
    <row r="525" ht="12.0" customHeight="1">
      <c r="A525" s="413"/>
      <c r="B525" s="413"/>
      <c r="C525" s="413"/>
      <c r="D525" s="414"/>
      <c r="E525" s="414"/>
      <c r="F525" s="414"/>
      <c r="G525" s="414"/>
      <c r="H525" s="413"/>
      <c r="I525" s="413"/>
      <c r="J525" s="413"/>
      <c r="K525" s="413"/>
      <c r="L525" s="413"/>
      <c r="M525" s="413"/>
      <c r="N525" s="413"/>
      <c r="O525" s="413"/>
      <c r="P525" s="413"/>
      <c r="Q525" s="413"/>
      <c r="R525" s="413"/>
      <c r="S525" s="413"/>
      <c r="T525" s="413"/>
      <c r="U525" s="413"/>
      <c r="V525" s="413"/>
      <c r="W525" s="413"/>
      <c r="X525" s="413"/>
      <c r="Y525" s="413"/>
      <c r="Z525" s="413"/>
    </row>
    <row r="526" ht="12.0" customHeight="1">
      <c r="A526" s="413"/>
      <c r="B526" s="413"/>
      <c r="C526" s="413"/>
      <c r="D526" s="414"/>
      <c r="E526" s="414"/>
      <c r="F526" s="414"/>
      <c r="G526" s="414"/>
      <c r="H526" s="413"/>
      <c r="I526" s="413"/>
      <c r="J526" s="413"/>
      <c r="K526" s="413"/>
      <c r="L526" s="413"/>
      <c r="M526" s="413"/>
      <c r="N526" s="413"/>
      <c r="O526" s="413"/>
      <c r="P526" s="413"/>
      <c r="Q526" s="413"/>
      <c r="R526" s="413"/>
      <c r="S526" s="413"/>
      <c r="T526" s="413"/>
      <c r="U526" s="413"/>
      <c r="V526" s="413"/>
      <c r="W526" s="413"/>
      <c r="X526" s="413"/>
      <c r="Y526" s="413"/>
      <c r="Z526" s="413"/>
    </row>
    <row r="527" ht="12.0" customHeight="1">
      <c r="A527" s="413"/>
      <c r="B527" s="413"/>
      <c r="C527" s="413"/>
      <c r="D527" s="414"/>
      <c r="E527" s="414"/>
      <c r="F527" s="414"/>
      <c r="G527" s="414"/>
      <c r="H527" s="413"/>
      <c r="I527" s="413"/>
      <c r="J527" s="413"/>
      <c r="K527" s="413"/>
      <c r="L527" s="413"/>
      <c r="M527" s="413"/>
      <c r="N527" s="413"/>
      <c r="O527" s="413"/>
      <c r="P527" s="413"/>
      <c r="Q527" s="413"/>
      <c r="R527" s="413"/>
      <c r="S527" s="413"/>
      <c r="T527" s="413"/>
      <c r="U527" s="413"/>
      <c r="V527" s="413"/>
      <c r="W527" s="413"/>
      <c r="X527" s="413"/>
      <c r="Y527" s="413"/>
      <c r="Z527" s="413"/>
    </row>
    <row r="528" ht="12.0" customHeight="1">
      <c r="A528" s="413"/>
      <c r="B528" s="413"/>
      <c r="C528" s="413"/>
      <c r="D528" s="414"/>
      <c r="E528" s="414"/>
      <c r="F528" s="414"/>
      <c r="G528" s="414"/>
      <c r="H528" s="413"/>
      <c r="I528" s="413"/>
      <c r="J528" s="413"/>
      <c r="K528" s="413"/>
      <c r="L528" s="413"/>
      <c r="M528" s="413"/>
      <c r="N528" s="413"/>
      <c r="O528" s="413"/>
      <c r="P528" s="413"/>
      <c r="Q528" s="413"/>
      <c r="R528" s="413"/>
      <c r="S528" s="413"/>
      <c r="T528" s="413"/>
      <c r="U528" s="413"/>
      <c r="V528" s="413"/>
      <c r="W528" s="413"/>
      <c r="X528" s="413"/>
      <c r="Y528" s="413"/>
      <c r="Z528" s="413"/>
    </row>
    <row r="529" ht="12.0" customHeight="1">
      <c r="A529" s="413"/>
      <c r="B529" s="413"/>
      <c r="C529" s="413"/>
      <c r="D529" s="414"/>
      <c r="E529" s="414"/>
      <c r="F529" s="414"/>
      <c r="G529" s="414"/>
      <c r="H529" s="413"/>
      <c r="I529" s="413"/>
      <c r="J529" s="413"/>
      <c r="K529" s="413"/>
      <c r="L529" s="413"/>
      <c r="M529" s="413"/>
      <c r="N529" s="413"/>
      <c r="O529" s="413"/>
      <c r="P529" s="413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</row>
    <row r="530" ht="12.0" customHeight="1">
      <c r="A530" s="413"/>
      <c r="B530" s="413"/>
      <c r="C530" s="413"/>
      <c r="D530" s="414"/>
      <c r="E530" s="414"/>
      <c r="F530" s="414"/>
      <c r="G530" s="414"/>
      <c r="H530" s="413"/>
      <c r="I530" s="413"/>
      <c r="J530" s="413"/>
      <c r="K530" s="413"/>
      <c r="L530" s="413"/>
      <c r="M530" s="413"/>
      <c r="N530" s="413"/>
      <c r="O530" s="413"/>
      <c r="P530" s="413"/>
      <c r="Q530" s="413"/>
      <c r="R530" s="413"/>
      <c r="S530" s="413"/>
      <c r="T530" s="413"/>
      <c r="U530" s="413"/>
      <c r="V530" s="413"/>
      <c r="W530" s="413"/>
      <c r="X530" s="413"/>
      <c r="Y530" s="413"/>
      <c r="Z530" s="413"/>
    </row>
    <row r="531" ht="12.0" customHeight="1">
      <c r="A531" s="413"/>
      <c r="B531" s="413"/>
      <c r="C531" s="413"/>
      <c r="D531" s="414"/>
      <c r="E531" s="414"/>
      <c r="F531" s="414"/>
      <c r="G531" s="414"/>
      <c r="H531" s="413"/>
      <c r="I531" s="413"/>
      <c r="J531" s="413"/>
      <c r="K531" s="413"/>
      <c r="L531" s="413"/>
      <c r="M531" s="413"/>
      <c r="N531" s="413"/>
      <c r="O531" s="413"/>
      <c r="P531" s="413"/>
      <c r="Q531" s="413"/>
      <c r="R531" s="413"/>
      <c r="S531" s="413"/>
      <c r="T531" s="413"/>
      <c r="U531" s="413"/>
      <c r="V531" s="413"/>
      <c r="W531" s="413"/>
      <c r="X531" s="413"/>
      <c r="Y531" s="413"/>
      <c r="Z531" s="413"/>
    </row>
    <row r="532" ht="12.0" customHeight="1">
      <c r="A532" s="413"/>
      <c r="B532" s="413"/>
      <c r="C532" s="413"/>
      <c r="D532" s="414"/>
      <c r="E532" s="414"/>
      <c r="F532" s="414"/>
      <c r="G532" s="414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  <c r="T532" s="413"/>
      <c r="U532" s="413"/>
      <c r="V532" s="413"/>
      <c r="W532" s="413"/>
      <c r="X532" s="413"/>
      <c r="Y532" s="413"/>
      <c r="Z532" s="413"/>
    </row>
    <row r="533" ht="12.0" customHeight="1">
      <c r="A533" s="413"/>
      <c r="B533" s="413"/>
      <c r="C533" s="413"/>
      <c r="D533" s="414"/>
      <c r="E533" s="414"/>
      <c r="F533" s="414"/>
      <c r="G533" s="414"/>
      <c r="H533" s="413"/>
      <c r="I533" s="413"/>
      <c r="J533" s="413"/>
      <c r="K533" s="413"/>
      <c r="L533" s="413"/>
      <c r="M533" s="413"/>
      <c r="N533" s="413"/>
      <c r="O533" s="413"/>
      <c r="P533" s="413"/>
      <c r="Q533" s="413"/>
      <c r="R533" s="413"/>
      <c r="S533" s="413"/>
      <c r="T533" s="413"/>
      <c r="U533" s="413"/>
      <c r="V533" s="413"/>
      <c r="W533" s="413"/>
      <c r="X533" s="413"/>
      <c r="Y533" s="413"/>
      <c r="Z533" s="413"/>
    </row>
    <row r="534" ht="12.0" customHeight="1">
      <c r="A534" s="413"/>
      <c r="B534" s="413"/>
      <c r="C534" s="413"/>
      <c r="D534" s="414"/>
      <c r="E534" s="414"/>
      <c r="F534" s="414"/>
      <c r="G534" s="414"/>
      <c r="H534" s="413"/>
      <c r="I534" s="413"/>
      <c r="J534" s="413"/>
      <c r="K534" s="413"/>
      <c r="L534" s="413"/>
      <c r="M534" s="413"/>
      <c r="N534" s="413"/>
      <c r="O534" s="413"/>
      <c r="P534" s="413"/>
      <c r="Q534" s="413"/>
      <c r="R534" s="413"/>
      <c r="S534" s="413"/>
      <c r="T534" s="413"/>
      <c r="U534" s="413"/>
      <c r="V534" s="413"/>
      <c r="W534" s="413"/>
      <c r="X534" s="413"/>
      <c r="Y534" s="413"/>
      <c r="Z534" s="413"/>
    </row>
    <row r="535" ht="12.0" customHeight="1">
      <c r="A535" s="413"/>
      <c r="B535" s="413"/>
      <c r="C535" s="413"/>
      <c r="D535" s="414"/>
      <c r="E535" s="414"/>
      <c r="F535" s="414"/>
      <c r="G535" s="414"/>
      <c r="H535" s="413"/>
      <c r="I535" s="413"/>
      <c r="J535" s="413"/>
      <c r="K535" s="413"/>
      <c r="L535" s="413"/>
      <c r="M535" s="413"/>
      <c r="N535" s="413"/>
      <c r="O535" s="413"/>
      <c r="P535" s="413"/>
      <c r="Q535" s="413"/>
      <c r="R535" s="413"/>
      <c r="S535" s="413"/>
      <c r="T535" s="413"/>
      <c r="U535" s="413"/>
      <c r="V535" s="413"/>
      <c r="W535" s="413"/>
      <c r="X535" s="413"/>
      <c r="Y535" s="413"/>
      <c r="Z535" s="413"/>
    </row>
    <row r="536" ht="12.0" customHeight="1">
      <c r="A536" s="413"/>
      <c r="B536" s="413"/>
      <c r="C536" s="413"/>
      <c r="D536" s="414"/>
      <c r="E536" s="414"/>
      <c r="F536" s="414"/>
      <c r="G536" s="414"/>
      <c r="H536" s="413"/>
      <c r="I536" s="413"/>
      <c r="J536" s="413"/>
      <c r="K536" s="413"/>
      <c r="L536" s="413"/>
      <c r="M536" s="413"/>
      <c r="N536" s="413"/>
      <c r="O536" s="413"/>
      <c r="P536" s="413"/>
      <c r="Q536" s="413"/>
      <c r="R536" s="413"/>
      <c r="S536" s="413"/>
      <c r="T536" s="413"/>
      <c r="U536" s="413"/>
      <c r="V536" s="413"/>
      <c r="W536" s="413"/>
      <c r="X536" s="413"/>
      <c r="Y536" s="413"/>
      <c r="Z536" s="413"/>
    </row>
    <row r="537" ht="12.0" customHeight="1">
      <c r="A537" s="413"/>
      <c r="B537" s="413"/>
      <c r="C537" s="413"/>
      <c r="D537" s="414"/>
      <c r="E537" s="414"/>
      <c r="F537" s="414"/>
      <c r="G537" s="414"/>
      <c r="H537" s="413"/>
      <c r="I537" s="413"/>
      <c r="J537" s="413"/>
      <c r="K537" s="413"/>
      <c r="L537" s="413"/>
      <c r="M537" s="413"/>
      <c r="N537" s="413"/>
      <c r="O537" s="413"/>
      <c r="P537" s="413"/>
      <c r="Q537" s="413"/>
      <c r="R537" s="413"/>
      <c r="S537" s="413"/>
      <c r="T537" s="413"/>
      <c r="U537" s="413"/>
      <c r="V537" s="413"/>
      <c r="W537" s="413"/>
      <c r="X537" s="413"/>
      <c r="Y537" s="413"/>
      <c r="Z537" s="413"/>
    </row>
    <row r="538" ht="12.0" customHeight="1">
      <c r="A538" s="413"/>
      <c r="B538" s="413"/>
      <c r="C538" s="413"/>
      <c r="D538" s="414"/>
      <c r="E538" s="414"/>
      <c r="F538" s="414"/>
      <c r="G538" s="414"/>
      <c r="H538" s="413"/>
      <c r="I538" s="413"/>
      <c r="J538" s="413"/>
      <c r="K538" s="413"/>
      <c r="L538" s="413"/>
      <c r="M538" s="413"/>
      <c r="N538" s="413"/>
      <c r="O538" s="413"/>
      <c r="P538" s="413"/>
      <c r="Q538" s="413"/>
      <c r="R538" s="413"/>
      <c r="S538" s="413"/>
      <c r="T538" s="413"/>
      <c r="U538" s="413"/>
      <c r="V538" s="413"/>
      <c r="W538" s="413"/>
      <c r="X538" s="413"/>
      <c r="Y538" s="413"/>
      <c r="Z538" s="413"/>
    </row>
    <row r="539" ht="12.0" customHeight="1">
      <c r="A539" s="413"/>
      <c r="B539" s="413"/>
      <c r="C539" s="413"/>
      <c r="D539" s="414"/>
      <c r="E539" s="414"/>
      <c r="F539" s="414"/>
      <c r="G539" s="414"/>
      <c r="H539" s="413"/>
      <c r="I539" s="413"/>
      <c r="J539" s="413"/>
      <c r="K539" s="413"/>
      <c r="L539" s="413"/>
      <c r="M539" s="413"/>
      <c r="N539" s="413"/>
      <c r="O539" s="413"/>
      <c r="P539" s="413"/>
      <c r="Q539" s="413"/>
      <c r="R539" s="413"/>
      <c r="S539" s="413"/>
      <c r="T539" s="413"/>
      <c r="U539" s="413"/>
      <c r="V539" s="413"/>
      <c r="W539" s="413"/>
      <c r="X539" s="413"/>
      <c r="Y539" s="413"/>
      <c r="Z539" s="413"/>
    </row>
    <row r="540" ht="12.0" customHeight="1">
      <c r="A540" s="413"/>
      <c r="B540" s="413"/>
      <c r="C540" s="413"/>
      <c r="D540" s="414"/>
      <c r="E540" s="414"/>
      <c r="F540" s="414"/>
      <c r="G540" s="414"/>
      <c r="H540" s="413"/>
      <c r="I540" s="413"/>
      <c r="J540" s="413"/>
      <c r="K540" s="413"/>
      <c r="L540" s="413"/>
      <c r="M540" s="413"/>
      <c r="N540" s="413"/>
      <c r="O540" s="413"/>
      <c r="P540" s="413"/>
      <c r="Q540" s="413"/>
      <c r="R540" s="413"/>
      <c r="S540" s="413"/>
      <c r="T540" s="413"/>
      <c r="U540" s="413"/>
      <c r="V540" s="413"/>
      <c r="W540" s="413"/>
      <c r="X540" s="413"/>
      <c r="Y540" s="413"/>
      <c r="Z540" s="413"/>
    </row>
    <row r="541" ht="12.0" customHeight="1">
      <c r="A541" s="413"/>
      <c r="B541" s="413"/>
      <c r="C541" s="413"/>
      <c r="D541" s="414"/>
      <c r="E541" s="414"/>
      <c r="F541" s="414"/>
      <c r="G541" s="414"/>
      <c r="H541" s="413"/>
      <c r="I541" s="413"/>
      <c r="J541" s="413"/>
      <c r="K541" s="413"/>
      <c r="L541" s="413"/>
      <c r="M541" s="413"/>
      <c r="N541" s="413"/>
      <c r="O541" s="413"/>
      <c r="P541" s="413"/>
      <c r="Q541" s="413"/>
      <c r="R541" s="413"/>
      <c r="S541" s="413"/>
      <c r="T541" s="413"/>
      <c r="U541" s="413"/>
      <c r="V541" s="413"/>
      <c r="W541" s="413"/>
      <c r="X541" s="413"/>
      <c r="Y541" s="413"/>
      <c r="Z541" s="413"/>
    </row>
    <row r="542" ht="12.0" customHeight="1">
      <c r="A542" s="413"/>
      <c r="B542" s="413"/>
      <c r="C542" s="413"/>
      <c r="D542" s="414"/>
      <c r="E542" s="414"/>
      <c r="F542" s="414"/>
      <c r="G542" s="414"/>
      <c r="H542" s="413"/>
      <c r="I542" s="413"/>
      <c r="J542" s="413"/>
      <c r="K542" s="413"/>
      <c r="L542" s="413"/>
      <c r="M542" s="413"/>
      <c r="N542" s="413"/>
      <c r="O542" s="413"/>
      <c r="P542" s="413"/>
      <c r="Q542" s="413"/>
      <c r="R542" s="413"/>
      <c r="S542" s="413"/>
      <c r="T542" s="413"/>
      <c r="U542" s="413"/>
      <c r="V542" s="413"/>
      <c r="W542" s="413"/>
      <c r="X542" s="413"/>
      <c r="Y542" s="413"/>
      <c r="Z542" s="413"/>
    </row>
    <row r="543" ht="12.0" customHeight="1">
      <c r="A543" s="413"/>
      <c r="B543" s="413"/>
      <c r="C543" s="413"/>
      <c r="D543" s="414"/>
      <c r="E543" s="414"/>
      <c r="F543" s="414"/>
      <c r="G543" s="414"/>
      <c r="H543" s="413"/>
      <c r="I543" s="413"/>
      <c r="J543" s="413"/>
      <c r="K543" s="413"/>
      <c r="L543" s="413"/>
      <c r="M543" s="413"/>
      <c r="N543" s="413"/>
      <c r="O543" s="413"/>
      <c r="P543" s="413"/>
      <c r="Q543" s="413"/>
      <c r="R543" s="413"/>
      <c r="S543" s="413"/>
      <c r="T543" s="413"/>
      <c r="U543" s="413"/>
      <c r="V543" s="413"/>
      <c r="W543" s="413"/>
      <c r="X543" s="413"/>
      <c r="Y543" s="413"/>
      <c r="Z543" s="413"/>
    </row>
    <row r="544" ht="12.0" customHeight="1">
      <c r="A544" s="413"/>
      <c r="B544" s="413"/>
      <c r="C544" s="413"/>
      <c r="D544" s="414"/>
      <c r="E544" s="414"/>
      <c r="F544" s="414"/>
      <c r="G544" s="414"/>
      <c r="H544" s="413"/>
      <c r="I544" s="413"/>
      <c r="J544" s="413"/>
      <c r="K544" s="413"/>
      <c r="L544" s="413"/>
      <c r="M544" s="413"/>
      <c r="N544" s="413"/>
      <c r="O544" s="413"/>
      <c r="P544" s="413"/>
      <c r="Q544" s="413"/>
      <c r="R544" s="413"/>
      <c r="S544" s="413"/>
      <c r="T544" s="413"/>
      <c r="U544" s="413"/>
      <c r="V544" s="413"/>
      <c r="W544" s="413"/>
      <c r="X544" s="413"/>
      <c r="Y544" s="413"/>
      <c r="Z544" s="413"/>
    </row>
    <row r="545" ht="12.0" customHeight="1">
      <c r="A545" s="413"/>
      <c r="B545" s="413"/>
      <c r="C545" s="413"/>
      <c r="D545" s="414"/>
      <c r="E545" s="414"/>
      <c r="F545" s="414"/>
      <c r="G545" s="414"/>
      <c r="H545" s="413"/>
      <c r="I545" s="413"/>
      <c r="J545" s="413"/>
      <c r="K545" s="413"/>
      <c r="L545" s="413"/>
      <c r="M545" s="413"/>
      <c r="N545" s="413"/>
      <c r="O545" s="413"/>
      <c r="P545" s="413"/>
      <c r="Q545" s="413"/>
      <c r="R545" s="413"/>
      <c r="S545" s="413"/>
      <c r="T545" s="413"/>
      <c r="U545" s="413"/>
      <c r="V545" s="413"/>
      <c r="W545" s="413"/>
      <c r="X545" s="413"/>
      <c r="Y545" s="413"/>
      <c r="Z545" s="413"/>
    </row>
    <row r="546" ht="12.0" customHeight="1">
      <c r="A546" s="413"/>
      <c r="B546" s="413"/>
      <c r="C546" s="413"/>
      <c r="D546" s="414"/>
      <c r="E546" s="414"/>
      <c r="F546" s="414"/>
      <c r="G546" s="414"/>
      <c r="H546" s="413"/>
      <c r="I546" s="413"/>
      <c r="J546" s="413"/>
      <c r="K546" s="413"/>
      <c r="L546" s="413"/>
      <c r="M546" s="413"/>
      <c r="N546" s="413"/>
      <c r="O546" s="413"/>
      <c r="P546" s="413"/>
      <c r="Q546" s="413"/>
      <c r="R546" s="413"/>
      <c r="S546" s="413"/>
      <c r="T546" s="413"/>
      <c r="U546" s="413"/>
      <c r="V546" s="413"/>
      <c r="W546" s="413"/>
      <c r="X546" s="413"/>
      <c r="Y546" s="413"/>
      <c r="Z546" s="413"/>
    </row>
    <row r="547" ht="12.0" customHeight="1">
      <c r="A547" s="413"/>
      <c r="B547" s="413"/>
      <c r="C547" s="413"/>
      <c r="D547" s="414"/>
      <c r="E547" s="414"/>
      <c r="F547" s="414"/>
      <c r="G547" s="414"/>
      <c r="H547" s="413"/>
      <c r="I547" s="413"/>
      <c r="J547" s="413"/>
      <c r="K547" s="413"/>
      <c r="L547" s="413"/>
      <c r="M547" s="413"/>
      <c r="N547" s="413"/>
      <c r="O547" s="413"/>
      <c r="P547" s="413"/>
      <c r="Q547" s="413"/>
      <c r="R547" s="413"/>
      <c r="S547" s="413"/>
      <c r="T547" s="413"/>
      <c r="U547" s="413"/>
      <c r="V547" s="413"/>
      <c r="W547" s="413"/>
      <c r="X547" s="413"/>
      <c r="Y547" s="413"/>
      <c r="Z547" s="413"/>
    </row>
    <row r="548" ht="12.0" customHeight="1">
      <c r="A548" s="413"/>
      <c r="B548" s="413"/>
      <c r="C548" s="413"/>
      <c r="D548" s="414"/>
      <c r="E548" s="414"/>
      <c r="F548" s="414"/>
      <c r="G548" s="414"/>
      <c r="H548" s="413"/>
      <c r="I548" s="413"/>
      <c r="J548" s="413"/>
      <c r="K548" s="413"/>
      <c r="L548" s="413"/>
      <c r="M548" s="413"/>
      <c r="N548" s="413"/>
      <c r="O548" s="413"/>
      <c r="P548" s="413"/>
      <c r="Q548" s="413"/>
      <c r="R548" s="413"/>
      <c r="S548" s="413"/>
      <c r="T548" s="413"/>
      <c r="U548" s="413"/>
      <c r="V548" s="413"/>
      <c r="W548" s="413"/>
      <c r="X548" s="413"/>
      <c r="Y548" s="413"/>
      <c r="Z548" s="413"/>
    </row>
    <row r="549" ht="12.0" customHeight="1">
      <c r="A549" s="413"/>
      <c r="B549" s="413"/>
      <c r="C549" s="413"/>
      <c r="D549" s="414"/>
      <c r="E549" s="414"/>
      <c r="F549" s="414"/>
      <c r="G549" s="414"/>
      <c r="H549" s="413"/>
      <c r="I549" s="413"/>
      <c r="J549" s="413"/>
      <c r="K549" s="413"/>
      <c r="L549" s="413"/>
      <c r="M549" s="413"/>
      <c r="N549" s="413"/>
      <c r="O549" s="413"/>
      <c r="P549" s="413"/>
      <c r="Q549" s="413"/>
      <c r="R549" s="413"/>
      <c r="S549" s="413"/>
      <c r="T549" s="413"/>
      <c r="U549" s="413"/>
      <c r="V549" s="413"/>
      <c r="W549" s="413"/>
      <c r="X549" s="413"/>
      <c r="Y549" s="413"/>
      <c r="Z549" s="413"/>
    </row>
    <row r="550" ht="12.0" customHeight="1">
      <c r="A550" s="413"/>
      <c r="B550" s="413"/>
      <c r="C550" s="413"/>
      <c r="D550" s="414"/>
      <c r="E550" s="414"/>
      <c r="F550" s="414"/>
      <c r="G550" s="414"/>
      <c r="H550" s="413"/>
      <c r="I550" s="413"/>
      <c r="J550" s="413"/>
      <c r="K550" s="413"/>
      <c r="L550" s="413"/>
      <c r="M550" s="413"/>
      <c r="N550" s="413"/>
      <c r="O550" s="413"/>
      <c r="P550" s="413"/>
      <c r="Q550" s="413"/>
      <c r="R550" s="413"/>
      <c r="S550" s="413"/>
      <c r="T550" s="413"/>
      <c r="U550" s="413"/>
      <c r="V550" s="413"/>
      <c r="W550" s="413"/>
      <c r="X550" s="413"/>
      <c r="Y550" s="413"/>
      <c r="Z550" s="413"/>
    </row>
    <row r="551" ht="12.0" customHeight="1">
      <c r="A551" s="413"/>
      <c r="B551" s="413"/>
      <c r="C551" s="413"/>
      <c r="D551" s="414"/>
      <c r="E551" s="414"/>
      <c r="F551" s="414"/>
      <c r="G551" s="414"/>
      <c r="H551" s="413"/>
      <c r="I551" s="413"/>
      <c r="J551" s="413"/>
      <c r="K551" s="413"/>
      <c r="L551" s="413"/>
      <c r="M551" s="413"/>
      <c r="N551" s="413"/>
      <c r="O551" s="413"/>
      <c r="P551" s="413"/>
      <c r="Q551" s="413"/>
      <c r="R551" s="413"/>
      <c r="S551" s="413"/>
      <c r="T551" s="413"/>
      <c r="U551" s="413"/>
      <c r="V551" s="413"/>
      <c r="W551" s="413"/>
      <c r="X551" s="413"/>
      <c r="Y551" s="413"/>
      <c r="Z551" s="413"/>
    </row>
    <row r="552" ht="12.0" customHeight="1">
      <c r="A552" s="413"/>
      <c r="B552" s="413"/>
      <c r="C552" s="413"/>
      <c r="D552" s="414"/>
      <c r="E552" s="414"/>
      <c r="F552" s="414"/>
      <c r="G552" s="414"/>
      <c r="H552" s="413"/>
      <c r="I552" s="413"/>
      <c r="J552" s="413"/>
      <c r="K552" s="413"/>
      <c r="L552" s="413"/>
      <c r="M552" s="413"/>
      <c r="N552" s="413"/>
      <c r="O552" s="413"/>
      <c r="P552" s="413"/>
      <c r="Q552" s="413"/>
      <c r="R552" s="413"/>
      <c r="S552" s="413"/>
      <c r="T552" s="413"/>
      <c r="U552" s="413"/>
      <c r="V552" s="413"/>
      <c r="W552" s="413"/>
      <c r="X552" s="413"/>
      <c r="Y552" s="413"/>
      <c r="Z552" s="413"/>
    </row>
    <row r="553" ht="12.0" customHeight="1">
      <c r="A553" s="413"/>
      <c r="B553" s="413"/>
      <c r="C553" s="413"/>
      <c r="D553" s="414"/>
      <c r="E553" s="414"/>
      <c r="F553" s="414"/>
      <c r="G553" s="414"/>
      <c r="H553" s="413"/>
      <c r="I553" s="413"/>
      <c r="J553" s="413"/>
      <c r="K553" s="413"/>
      <c r="L553" s="413"/>
      <c r="M553" s="413"/>
      <c r="N553" s="413"/>
      <c r="O553" s="413"/>
      <c r="P553" s="413"/>
      <c r="Q553" s="413"/>
      <c r="R553" s="413"/>
      <c r="S553" s="413"/>
      <c r="T553" s="413"/>
      <c r="U553" s="413"/>
      <c r="V553" s="413"/>
      <c r="W553" s="413"/>
      <c r="X553" s="413"/>
      <c r="Y553" s="413"/>
      <c r="Z553" s="413"/>
    </row>
    <row r="554" ht="12.0" customHeight="1">
      <c r="A554" s="413"/>
      <c r="B554" s="413"/>
      <c r="C554" s="413"/>
      <c r="D554" s="414"/>
      <c r="E554" s="414"/>
      <c r="F554" s="414"/>
      <c r="G554" s="414"/>
      <c r="H554" s="413"/>
      <c r="I554" s="413"/>
      <c r="J554" s="413"/>
      <c r="K554" s="413"/>
      <c r="L554" s="413"/>
      <c r="M554" s="413"/>
      <c r="N554" s="413"/>
      <c r="O554" s="413"/>
      <c r="P554" s="413"/>
      <c r="Q554" s="413"/>
      <c r="R554" s="413"/>
      <c r="S554" s="413"/>
      <c r="T554" s="413"/>
      <c r="U554" s="413"/>
      <c r="V554" s="413"/>
      <c r="W554" s="413"/>
      <c r="X554" s="413"/>
      <c r="Y554" s="413"/>
      <c r="Z554" s="413"/>
    </row>
    <row r="555" ht="12.0" customHeight="1">
      <c r="A555" s="413"/>
      <c r="B555" s="413"/>
      <c r="C555" s="413"/>
      <c r="D555" s="414"/>
      <c r="E555" s="414"/>
      <c r="F555" s="414"/>
      <c r="G555" s="414"/>
      <c r="H555" s="413"/>
      <c r="I555" s="413"/>
      <c r="J555" s="413"/>
      <c r="K555" s="413"/>
      <c r="L555" s="413"/>
      <c r="M555" s="413"/>
      <c r="N555" s="413"/>
      <c r="O555" s="413"/>
      <c r="P555" s="413"/>
      <c r="Q555" s="413"/>
      <c r="R555" s="413"/>
      <c r="S555" s="413"/>
      <c r="T555" s="413"/>
      <c r="U555" s="413"/>
      <c r="V555" s="413"/>
      <c r="W555" s="413"/>
      <c r="X555" s="413"/>
      <c r="Y555" s="413"/>
      <c r="Z555" s="413"/>
    </row>
    <row r="556" ht="12.0" customHeight="1">
      <c r="A556" s="413"/>
      <c r="B556" s="413"/>
      <c r="C556" s="413"/>
      <c r="D556" s="414"/>
      <c r="E556" s="414"/>
      <c r="F556" s="414"/>
      <c r="G556" s="414"/>
      <c r="H556" s="413"/>
      <c r="I556" s="413"/>
      <c r="J556" s="413"/>
      <c r="K556" s="413"/>
      <c r="L556" s="413"/>
      <c r="M556" s="413"/>
      <c r="N556" s="413"/>
      <c r="O556" s="413"/>
      <c r="P556" s="413"/>
      <c r="Q556" s="413"/>
      <c r="R556" s="413"/>
      <c r="S556" s="413"/>
      <c r="T556" s="413"/>
      <c r="U556" s="413"/>
      <c r="V556" s="413"/>
      <c r="W556" s="413"/>
      <c r="X556" s="413"/>
      <c r="Y556" s="413"/>
      <c r="Z556" s="413"/>
    </row>
    <row r="557" ht="12.0" customHeight="1">
      <c r="A557" s="413"/>
      <c r="B557" s="413"/>
      <c r="C557" s="413"/>
      <c r="D557" s="414"/>
      <c r="E557" s="414"/>
      <c r="F557" s="414"/>
      <c r="G557" s="414"/>
      <c r="H557" s="413"/>
      <c r="I557" s="413"/>
      <c r="J557" s="413"/>
      <c r="K557" s="413"/>
      <c r="L557" s="413"/>
      <c r="M557" s="413"/>
      <c r="N557" s="413"/>
      <c r="O557" s="413"/>
      <c r="P557" s="413"/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</row>
    <row r="558" ht="12.0" customHeight="1">
      <c r="A558" s="413"/>
      <c r="B558" s="413"/>
      <c r="C558" s="413"/>
      <c r="D558" s="414"/>
      <c r="E558" s="414"/>
      <c r="F558" s="414"/>
      <c r="G558" s="414"/>
      <c r="H558" s="413"/>
      <c r="I558" s="413"/>
      <c r="J558" s="413"/>
      <c r="K558" s="413"/>
      <c r="L558" s="413"/>
      <c r="M558" s="413"/>
      <c r="N558" s="413"/>
      <c r="O558" s="413"/>
      <c r="P558" s="413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</row>
    <row r="559" ht="12.0" customHeight="1">
      <c r="A559" s="413"/>
      <c r="B559" s="413"/>
      <c r="C559" s="413"/>
      <c r="D559" s="414"/>
      <c r="E559" s="414"/>
      <c r="F559" s="414"/>
      <c r="G559" s="414"/>
      <c r="H559" s="413"/>
      <c r="I559" s="413"/>
      <c r="J559" s="413"/>
      <c r="K559" s="413"/>
      <c r="L559" s="413"/>
      <c r="M559" s="413"/>
      <c r="N559" s="413"/>
      <c r="O559" s="413"/>
      <c r="P559" s="413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</row>
    <row r="560" ht="12.0" customHeight="1">
      <c r="A560" s="413"/>
      <c r="B560" s="413"/>
      <c r="C560" s="413"/>
      <c r="D560" s="414"/>
      <c r="E560" s="414"/>
      <c r="F560" s="414"/>
      <c r="G560" s="414"/>
      <c r="H560" s="413"/>
      <c r="I560" s="413"/>
      <c r="J560" s="413"/>
      <c r="K560" s="413"/>
      <c r="L560" s="413"/>
      <c r="M560" s="413"/>
      <c r="N560" s="413"/>
      <c r="O560" s="413"/>
      <c r="P560" s="413"/>
      <c r="Q560" s="413"/>
      <c r="R560" s="413"/>
      <c r="S560" s="413"/>
      <c r="T560" s="413"/>
      <c r="U560" s="413"/>
      <c r="V560" s="413"/>
      <c r="W560" s="413"/>
      <c r="X560" s="413"/>
      <c r="Y560" s="413"/>
      <c r="Z560" s="413"/>
    </row>
    <row r="561" ht="12.0" customHeight="1">
      <c r="A561" s="413"/>
      <c r="B561" s="413"/>
      <c r="C561" s="413"/>
      <c r="D561" s="414"/>
      <c r="E561" s="414"/>
      <c r="F561" s="414"/>
      <c r="G561" s="414"/>
      <c r="H561" s="413"/>
      <c r="I561" s="413"/>
      <c r="J561" s="413"/>
      <c r="K561" s="413"/>
      <c r="L561" s="413"/>
      <c r="M561" s="413"/>
      <c r="N561" s="413"/>
      <c r="O561" s="413"/>
      <c r="P561" s="413"/>
      <c r="Q561" s="413"/>
      <c r="R561" s="413"/>
      <c r="S561" s="413"/>
      <c r="T561" s="413"/>
      <c r="U561" s="413"/>
      <c r="V561" s="413"/>
      <c r="W561" s="413"/>
      <c r="X561" s="413"/>
      <c r="Y561" s="413"/>
      <c r="Z561" s="413"/>
    </row>
    <row r="562" ht="12.0" customHeight="1">
      <c r="A562" s="413"/>
      <c r="B562" s="413"/>
      <c r="C562" s="413"/>
      <c r="D562" s="414"/>
      <c r="E562" s="414"/>
      <c r="F562" s="414"/>
      <c r="G562" s="414"/>
      <c r="H562" s="413"/>
      <c r="I562" s="413"/>
      <c r="J562" s="413"/>
      <c r="K562" s="413"/>
      <c r="L562" s="413"/>
      <c r="M562" s="413"/>
      <c r="N562" s="413"/>
      <c r="O562" s="413"/>
      <c r="P562" s="413"/>
      <c r="Q562" s="413"/>
      <c r="R562" s="413"/>
      <c r="S562" s="413"/>
      <c r="T562" s="413"/>
      <c r="U562" s="413"/>
      <c r="V562" s="413"/>
      <c r="W562" s="413"/>
      <c r="X562" s="413"/>
      <c r="Y562" s="413"/>
      <c r="Z562" s="413"/>
    </row>
    <row r="563" ht="12.0" customHeight="1">
      <c r="A563" s="413"/>
      <c r="B563" s="413"/>
      <c r="C563" s="413"/>
      <c r="D563" s="414"/>
      <c r="E563" s="414"/>
      <c r="F563" s="414"/>
      <c r="G563" s="414"/>
      <c r="H563" s="413"/>
      <c r="I563" s="413"/>
      <c r="J563" s="413"/>
      <c r="K563" s="413"/>
      <c r="L563" s="413"/>
      <c r="M563" s="413"/>
      <c r="N563" s="413"/>
      <c r="O563" s="413"/>
      <c r="P563" s="413"/>
      <c r="Q563" s="413"/>
      <c r="R563" s="413"/>
      <c r="S563" s="413"/>
      <c r="T563" s="413"/>
      <c r="U563" s="413"/>
      <c r="V563" s="413"/>
      <c r="W563" s="413"/>
      <c r="X563" s="413"/>
      <c r="Y563" s="413"/>
      <c r="Z563" s="413"/>
    </row>
    <row r="564" ht="12.0" customHeight="1">
      <c r="A564" s="413"/>
      <c r="B564" s="413"/>
      <c r="C564" s="413"/>
      <c r="D564" s="414"/>
      <c r="E564" s="414"/>
      <c r="F564" s="414"/>
      <c r="G564" s="414"/>
      <c r="H564" s="413"/>
      <c r="I564" s="413"/>
      <c r="J564" s="413"/>
      <c r="K564" s="413"/>
      <c r="L564" s="413"/>
      <c r="M564" s="413"/>
      <c r="N564" s="413"/>
      <c r="O564" s="413"/>
      <c r="P564" s="413"/>
      <c r="Q564" s="413"/>
      <c r="R564" s="413"/>
      <c r="S564" s="413"/>
      <c r="T564" s="413"/>
      <c r="U564" s="413"/>
      <c r="V564" s="413"/>
      <c r="W564" s="413"/>
      <c r="X564" s="413"/>
      <c r="Y564" s="413"/>
      <c r="Z564" s="413"/>
    </row>
    <row r="565" ht="12.0" customHeight="1">
      <c r="A565" s="413"/>
      <c r="B565" s="413"/>
      <c r="C565" s="413"/>
      <c r="D565" s="414"/>
      <c r="E565" s="414"/>
      <c r="F565" s="414"/>
      <c r="G565" s="414"/>
      <c r="H565" s="413"/>
      <c r="I565" s="413"/>
      <c r="J565" s="413"/>
      <c r="K565" s="413"/>
      <c r="L565" s="413"/>
      <c r="M565" s="413"/>
      <c r="N565" s="413"/>
      <c r="O565" s="413"/>
      <c r="P565" s="413"/>
      <c r="Q565" s="413"/>
      <c r="R565" s="413"/>
      <c r="S565" s="413"/>
      <c r="T565" s="413"/>
      <c r="U565" s="413"/>
      <c r="V565" s="413"/>
      <c r="W565" s="413"/>
      <c r="X565" s="413"/>
      <c r="Y565" s="413"/>
      <c r="Z565" s="413"/>
    </row>
    <row r="566" ht="12.0" customHeight="1">
      <c r="A566" s="413"/>
      <c r="B566" s="413"/>
      <c r="C566" s="413"/>
      <c r="D566" s="414"/>
      <c r="E566" s="414"/>
      <c r="F566" s="414"/>
      <c r="G566" s="414"/>
      <c r="H566" s="413"/>
      <c r="I566" s="413"/>
      <c r="J566" s="413"/>
      <c r="K566" s="413"/>
      <c r="L566" s="413"/>
      <c r="M566" s="413"/>
      <c r="N566" s="413"/>
      <c r="O566" s="413"/>
      <c r="P566" s="413"/>
      <c r="Q566" s="413"/>
      <c r="R566" s="413"/>
      <c r="S566" s="413"/>
      <c r="T566" s="413"/>
      <c r="U566" s="413"/>
      <c r="V566" s="413"/>
      <c r="W566" s="413"/>
      <c r="X566" s="413"/>
      <c r="Y566" s="413"/>
      <c r="Z566" s="413"/>
    </row>
    <row r="567" ht="12.0" customHeight="1">
      <c r="A567" s="413"/>
      <c r="B567" s="413"/>
      <c r="C567" s="413"/>
      <c r="D567" s="414"/>
      <c r="E567" s="414"/>
      <c r="F567" s="414"/>
      <c r="G567" s="414"/>
      <c r="H567" s="413"/>
      <c r="I567" s="413"/>
      <c r="J567" s="413"/>
      <c r="K567" s="413"/>
      <c r="L567" s="413"/>
      <c r="M567" s="413"/>
      <c r="N567" s="413"/>
      <c r="O567" s="413"/>
      <c r="P567" s="413"/>
      <c r="Q567" s="413"/>
      <c r="R567" s="413"/>
      <c r="S567" s="413"/>
      <c r="T567" s="413"/>
      <c r="U567" s="413"/>
      <c r="V567" s="413"/>
      <c r="W567" s="413"/>
      <c r="X567" s="413"/>
      <c r="Y567" s="413"/>
      <c r="Z567" s="413"/>
    </row>
    <row r="568" ht="12.0" customHeight="1">
      <c r="A568" s="413"/>
      <c r="B568" s="413"/>
      <c r="C568" s="413"/>
      <c r="D568" s="414"/>
      <c r="E568" s="414"/>
      <c r="F568" s="414"/>
      <c r="G568" s="414"/>
      <c r="H568" s="413"/>
      <c r="I568" s="413"/>
      <c r="J568" s="413"/>
      <c r="K568" s="413"/>
      <c r="L568" s="413"/>
      <c r="M568" s="413"/>
      <c r="N568" s="413"/>
      <c r="O568" s="413"/>
      <c r="P568" s="413"/>
      <c r="Q568" s="413"/>
      <c r="R568" s="413"/>
      <c r="S568" s="413"/>
      <c r="T568" s="413"/>
      <c r="U568" s="413"/>
      <c r="V568" s="413"/>
      <c r="W568" s="413"/>
      <c r="X568" s="413"/>
      <c r="Y568" s="413"/>
      <c r="Z568" s="413"/>
    </row>
    <row r="569" ht="12.0" customHeight="1">
      <c r="A569" s="413"/>
      <c r="B569" s="413"/>
      <c r="C569" s="413"/>
      <c r="D569" s="414"/>
      <c r="E569" s="414"/>
      <c r="F569" s="414"/>
      <c r="G569" s="414"/>
      <c r="H569" s="413"/>
      <c r="I569" s="413"/>
      <c r="J569" s="413"/>
      <c r="K569" s="413"/>
      <c r="L569" s="413"/>
      <c r="M569" s="413"/>
      <c r="N569" s="413"/>
      <c r="O569" s="413"/>
      <c r="P569" s="413"/>
      <c r="Q569" s="413"/>
      <c r="R569" s="413"/>
      <c r="S569" s="413"/>
      <c r="T569" s="413"/>
      <c r="U569" s="413"/>
      <c r="V569" s="413"/>
      <c r="W569" s="413"/>
      <c r="X569" s="413"/>
      <c r="Y569" s="413"/>
      <c r="Z569" s="413"/>
    </row>
    <row r="570" ht="12.0" customHeight="1">
      <c r="A570" s="413"/>
      <c r="B570" s="413"/>
      <c r="C570" s="413"/>
      <c r="D570" s="414"/>
      <c r="E570" s="414"/>
      <c r="F570" s="414"/>
      <c r="G570" s="414"/>
      <c r="H570" s="413"/>
      <c r="I570" s="413"/>
      <c r="J570" s="413"/>
      <c r="K570" s="413"/>
      <c r="L570" s="413"/>
      <c r="M570" s="413"/>
      <c r="N570" s="413"/>
      <c r="O570" s="413"/>
      <c r="P570" s="413"/>
      <c r="Q570" s="413"/>
      <c r="R570" s="413"/>
      <c r="S570" s="413"/>
      <c r="T570" s="413"/>
      <c r="U570" s="413"/>
      <c r="V570" s="413"/>
      <c r="W570" s="413"/>
      <c r="X570" s="413"/>
      <c r="Y570" s="413"/>
      <c r="Z570" s="413"/>
    </row>
    <row r="571" ht="12.0" customHeight="1">
      <c r="A571" s="413"/>
      <c r="B571" s="413"/>
      <c r="C571" s="413"/>
      <c r="D571" s="414"/>
      <c r="E571" s="414"/>
      <c r="F571" s="414"/>
      <c r="G571" s="414"/>
      <c r="H571" s="413"/>
      <c r="I571" s="413"/>
      <c r="J571" s="413"/>
      <c r="K571" s="413"/>
      <c r="L571" s="413"/>
      <c r="M571" s="413"/>
      <c r="N571" s="413"/>
      <c r="O571" s="413"/>
      <c r="P571" s="413"/>
      <c r="Q571" s="413"/>
      <c r="R571" s="413"/>
      <c r="S571" s="413"/>
      <c r="T571" s="413"/>
      <c r="U571" s="413"/>
      <c r="V571" s="413"/>
      <c r="W571" s="413"/>
      <c r="X571" s="413"/>
      <c r="Y571" s="413"/>
      <c r="Z571" s="413"/>
    </row>
    <row r="572" ht="12.0" customHeight="1">
      <c r="A572" s="413"/>
      <c r="B572" s="413"/>
      <c r="C572" s="413"/>
      <c r="D572" s="414"/>
      <c r="E572" s="414"/>
      <c r="F572" s="414"/>
      <c r="G572" s="414"/>
      <c r="H572" s="413"/>
      <c r="I572" s="413"/>
      <c r="J572" s="413"/>
      <c r="K572" s="413"/>
      <c r="L572" s="413"/>
      <c r="M572" s="413"/>
      <c r="N572" s="413"/>
      <c r="O572" s="413"/>
      <c r="P572" s="413"/>
      <c r="Q572" s="413"/>
      <c r="R572" s="413"/>
      <c r="S572" s="413"/>
      <c r="T572" s="413"/>
      <c r="U572" s="413"/>
      <c r="V572" s="413"/>
      <c r="W572" s="413"/>
      <c r="X572" s="413"/>
      <c r="Y572" s="413"/>
      <c r="Z572" s="413"/>
    </row>
    <row r="573" ht="12.0" customHeight="1">
      <c r="A573" s="413"/>
      <c r="B573" s="413"/>
      <c r="C573" s="413"/>
      <c r="D573" s="414"/>
      <c r="E573" s="414"/>
      <c r="F573" s="414"/>
      <c r="G573" s="414"/>
      <c r="H573" s="413"/>
      <c r="I573" s="413"/>
      <c r="J573" s="413"/>
      <c r="K573" s="413"/>
      <c r="L573" s="413"/>
      <c r="M573" s="413"/>
      <c r="N573" s="413"/>
      <c r="O573" s="413"/>
      <c r="P573" s="413"/>
      <c r="Q573" s="413"/>
      <c r="R573" s="413"/>
      <c r="S573" s="413"/>
      <c r="T573" s="413"/>
      <c r="U573" s="413"/>
      <c r="V573" s="413"/>
      <c r="W573" s="413"/>
      <c r="X573" s="413"/>
      <c r="Y573" s="413"/>
      <c r="Z573" s="413"/>
    </row>
    <row r="574" ht="12.0" customHeight="1">
      <c r="A574" s="413"/>
      <c r="B574" s="413"/>
      <c r="C574" s="413"/>
      <c r="D574" s="414"/>
      <c r="E574" s="414"/>
      <c r="F574" s="414"/>
      <c r="G574" s="414"/>
      <c r="H574" s="413"/>
      <c r="I574" s="413"/>
      <c r="J574" s="413"/>
      <c r="K574" s="413"/>
      <c r="L574" s="413"/>
      <c r="M574" s="413"/>
      <c r="N574" s="413"/>
      <c r="O574" s="413"/>
      <c r="P574" s="413"/>
      <c r="Q574" s="413"/>
      <c r="R574" s="413"/>
      <c r="S574" s="413"/>
      <c r="T574" s="413"/>
      <c r="U574" s="413"/>
      <c r="V574" s="413"/>
      <c r="W574" s="413"/>
      <c r="X574" s="413"/>
      <c r="Y574" s="413"/>
      <c r="Z574" s="413"/>
    </row>
    <row r="575" ht="12.0" customHeight="1">
      <c r="A575" s="413"/>
      <c r="B575" s="413"/>
      <c r="C575" s="413"/>
      <c r="D575" s="414"/>
      <c r="E575" s="414"/>
      <c r="F575" s="414"/>
      <c r="G575" s="414"/>
      <c r="H575" s="413"/>
      <c r="I575" s="413"/>
      <c r="J575" s="413"/>
      <c r="K575" s="413"/>
      <c r="L575" s="413"/>
      <c r="M575" s="413"/>
      <c r="N575" s="413"/>
      <c r="O575" s="413"/>
      <c r="P575" s="413"/>
      <c r="Q575" s="413"/>
      <c r="R575" s="413"/>
      <c r="S575" s="413"/>
      <c r="T575" s="413"/>
      <c r="U575" s="413"/>
      <c r="V575" s="413"/>
      <c r="W575" s="413"/>
      <c r="X575" s="413"/>
      <c r="Y575" s="413"/>
      <c r="Z575" s="413"/>
    </row>
    <row r="576" ht="12.0" customHeight="1">
      <c r="A576" s="413"/>
      <c r="B576" s="413"/>
      <c r="C576" s="413"/>
      <c r="D576" s="414"/>
      <c r="E576" s="414"/>
      <c r="F576" s="414"/>
      <c r="G576" s="414"/>
      <c r="H576" s="413"/>
      <c r="I576" s="413"/>
      <c r="J576" s="413"/>
      <c r="K576" s="413"/>
      <c r="L576" s="413"/>
      <c r="M576" s="413"/>
      <c r="N576" s="413"/>
      <c r="O576" s="413"/>
      <c r="P576" s="413"/>
      <c r="Q576" s="413"/>
      <c r="R576" s="413"/>
      <c r="S576" s="413"/>
      <c r="T576" s="413"/>
      <c r="U576" s="413"/>
      <c r="V576" s="413"/>
      <c r="W576" s="413"/>
      <c r="X576" s="413"/>
      <c r="Y576" s="413"/>
      <c r="Z576" s="413"/>
    </row>
    <row r="577" ht="12.0" customHeight="1">
      <c r="A577" s="413"/>
      <c r="B577" s="413"/>
      <c r="C577" s="413"/>
      <c r="D577" s="414"/>
      <c r="E577" s="414"/>
      <c r="F577" s="414"/>
      <c r="G577" s="414"/>
      <c r="H577" s="413"/>
      <c r="I577" s="413"/>
      <c r="J577" s="413"/>
      <c r="K577" s="413"/>
      <c r="L577" s="413"/>
      <c r="M577" s="413"/>
      <c r="N577" s="413"/>
      <c r="O577" s="413"/>
      <c r="P577" s="413"/>
      <c r="Q577" s="413"/>
      <c r="R577" s="413"/>
      <c r="S577" s="413"/>
      <c r="T577" s="413"/>
      <c r="U577" s="413"/>
      <c r="V577" s="413"/>
      <c r="W577" s="413"/>
      <c r="X577" s="413"/>
      <c r="Y577" s="413"/>
      <c r="Z577" s="413"/>
    </row>
    <row r="578" ht="12.0" customHeight="1">
      <c r="A578" s="413"/>
      <c r="B578" s="413"/>
      <c r="C578" s="413"/>
      <c r="D578" s="414"/>
      <c r="E578" s="414"/>
      <c r="F578" s="414"/>
      <c r="G578" s="414"/>
      <c r="H578" s="413"/>
      <c r="I578" s="413"/>
      <c r="J578" s="413"/>
      <c r="K578" s="413"/>
      <c r="L578" s="413"/>
      <c r="M578" s="413"/>
      <c r="N578" s="413"/>
      <c r="O578" s="413"/>
      <c r="P578" s="413"/>
      <c r="Q578" s="413"/>
      <c r="R578" s="413"/>
      <c r="S578" s="413"/>
      <c r="T578" s="413"/>
      <c r="U578" s="413"/>
      <c r="V578" s="413"/>
      <c r="W578" s="413"/>
      <c r="X578" s="413"/>
      <c r="Y578" s="413"/>
      <c r="Z578" s="413"/>
    </row>
    <row r="579" ht="12.0" customHeight="1">
      <c r="A579" s="413"/>
      <c r="B579" s="413"/>
      <c r="C579" s="413"/>
      <c r="D579" s="414"/>
      <c r="E579" s="414"/>
      <c r="F579" s="414"/>
      <c r="G579" s="414"/>
      <c r="H579" s="413"/>
      <c r="I579" s="413"/>
      <c r="J579" s="413"/>
      <c r="K579" s="413"/>
      <c r="L579" s="413"/>
      <c r="M579" s="413"/>
      <c r="N579" s="413"/>
      <c r="O579" s="413"/>
      <c r="P579" s="413"/>
      <c r="Q579" s="413"/>
      <c r="R579" s="413"/>
      <c r="S579" s="413"/>
      <c r="T579" s="413"/>
      <c r="U579" s="413"/>
      <c r="V579" s="413"/>
      <c r="W579" s="413"/>
      <c r="X579" s="413"/>
      <c r="Y579" s="413"/>
      <c r="Z579" s="413"/>
    </row>
    <row r="580" ht="12.0" customHeight="1">
      <c r="A580" s="413"/>
      <c r="B580" s="413"/>
      <c r="C580" s="413"/>
      <c r="D580" s="414"/>
      <c r="E580" s="414"/>
      <c r="F580" s="414"/>
      <c r="G580" s="414"/>
      <c r="H580" s="413"/>
      <c r="I580" s="413"/>
      <c r="J580" s="413"/>
      <c r="K580" s="413"/>
      <c r="L580" s="413"/>
      <c r="M580" s="413"/>
      <c r="N580" s="413"/>
      <c r="O580" s="413"/>
      <c r="P580" s="413"/>
      <c r="Q580" s="413"/>
      <c r="R580" s="413"/>
      <c r="S580" s="413"/>
      <c r="T580" s="413"/>
      <c r="U580" s="413"/>
      <c r="V580" s="413"/>
      <c r="W580" s="413"/>
      <c r="X580" s="413"/>
      <c r="Y580" s="413"/>
      <c r="Z580" s="413"/>
    </row>
    <row r="581" ht="12.0" customHeight="1">
      <c r="A581" s="413"/>
      <c r="B581" s="413"/>
      <c r="C581" s="413"/>
      <c r="D581" s="414"/>
      <c r="E581" s="414"/>
      <c r="F581" s="414"/>
      <c r="G581" s="414"/>
      <c r="H581" s="413"/>
      <c r="I581" s="413"/>
      <c r="J581" s="413"/>
      <c r="K581" s="413"/>
      <c r="L581" s="413"/>
      <c r="M581" s="413"/>
      <c r="N581" s="413"/>
      <c r="O581" s="413"/>
      <c r="P581" s="413"/>
      <c r="Q581" s="413"/>
      <c r="R581" s="413"/>
      <c r="S581" s="413"/>
      <c r="T581" s="413"/>
      <c r="U581" s="413"/>
      <c r="V581" s="413"/>
      <c r="W581" s="413"/>
      <c r="X581" s="413"/>
      <c r="Y581" s="413"/>
      <c r="Z581" s="413"/>
    </row>
    <row r="582" ht="12.0" customHeight="1">
      <c r="A582" s="413"/>
      <c r="B582" s="413"/>
      <c r="C582" s="413"/>
      <c r="D582" s="414"/>
      <c r="E582" s="414"/>
      <c r="F582" s="414"/>
      <c r="G582" s="414"/>
      <c r="H582" s="413"/>
      <c r="I582" s="413"/>
      <c r="J582" s="413"/>
      <c r="K582" s="413"/>
      <c r="L582" s="413"/>
      <c r="M582" s="413"/>
      <c r="N582" s="413"/>
      <c r="O582" s="413"/>
      <c r="P582" s="413"/>
      <c r="Q582" s="413"/>
      <c r="R582" s="413"/>
      <c r="S582" s="413"/>
      <c r="T582" s="413"/>
      <c r="U582" s="413"/>
      <c r="V582" s="413"/>
      <c r="W582" s="413"/>
      <c r="X582" s="413"/>
      <c r="Y582" s="413"/>
      <c r="Z582" s="413"/>
    </row>
    <row r="583" ht="12.0" customHeight="1">
      <c r="A583" s="413"/>
      <c r="B583" s="413"/>
      <c r="C583" s="413"/>
      <c r="D583" s="414"/>
      <c r="E583" s="414"/>
      <c r="F583" s="414"/>
      <c r="G583" s="414"/>
      <c r="H583" s="413"/>
      <c r="I583" s="413"/>
      <c r="J583" s="413"/>
      <c r="K583" s="413"/>
      <c r="L583" s="413"/>
      <c r="M583" s="413"/>
      <c r="N583" s="413"/>
      <c r="O583" s="413"/>
      <c r="P583" s="413"/>
      <c r="Q583" s="413"/>
      <c r="R583" s="413"/>
      <c r="S583" s="413"/>
      <c r="T583" s="413"/>
      <c r="U583" s="413"/>
      <c r="V583" s="413"/>
      <c r="W583" s="413"/>
      <c r="X583" s="413"/>
      <c r="Y583" s="413"/>
      <c r="Z583" s="413"/>
    </row>
    <row r="584" ht="12.0" customHeight="1">
      <c r="A584" s="413"/>
      <c r="B584" s="413"/>
      <c r="C584" s="413"/>
      <c r="D584" s="414"/>
      <c r="E584" s="414"/>
      <c r="F584" s="414"/>
      <c r="G584" s="414"/>
      <c r="H584" s="413"/>
      <c r="I584" s="413"/>
      <c r="J584" s="413"/>
      <c r="K584" s="413"/>
      <c r="L584" s="413"/>
      <c r="M584" s="413"/>
      <c r="N584" s="413"/>
      <c r="O584" s="413"/>
      <c r="P584" s="413"/>
      <c r="Q584" s="413"/>
      <c r="R584" s="413"/>
      <c r="S584" s="413"/>
      <c r="T584" s="413"/>
      <c r="U584" s="413"/>
      <c r="V584" s="413"/>
      <c r="W584" s="413"/>
      <c r="X584" s="413"/>
      <c r="Y584" s="413"/>
      <c r="Z584" s="413"/>
    </row>
    <row r="585" ht="12.0" customHeight="1">
      <c r="A585" s="413"/>
      <c r="B585" s="413"/>
      <c r="C585" s="413"/>
      <c r="D585" s="414"/>
      <c r="E585" s="414"/>
      <c r="F585" s="414"/>
      <c r="G585" s="414"/>
      <c r="H585" s="413"/>
      <c r="I585" s="413"/>
      <c r="J585" s="413"/>
      <c r="K585" s="413"/>
      <c r="L585" s="413"/>
      <c r="M585" s="413"/>
      <c r="N585" s="413"/>
      <c r="O585" s="413"/>
      <c r="P585" s="413"/>
      <c r="Q585" s="413"/>
      <c r="R585" s="413"/>
      <c r="S585" s="413"/>
      <c r="T585" s="413"/>
      <c r="U585" s="413"/>
      <c r="V585" s="413"/>
      <c r="W585" s="413"/>
      <c r="X585" s="413"/>
      <c r="Y585" s="413"/>
      <c r="Z585" s="413"/>
    </row>
    <row r="586" ht="12.0" customHeight="1">
      <c r="A586" s="413"/>
      <c r="B586" s="413"/>
      <c r="C586" s="413"/>
      <c r="D586" s="414"/>
      <c r="E586" s="414"/>
      <c r="F586" s="414"/>
      <c r="G586" s="414"/>
      <c r="H586" s="413"/>
      <c r="I586" s="413"/>
      <c r="J586" s="413"/>
      <c r="K586" s="413"/>
      <c r="L586" s="413"/>
      <c r="M586" s="413"/>
      <c r="N586" s="413"/>
      <c r="O586" s="413"/>
      <c r="P586" s="413"/>
      <c r="Q586" s="413"/>
      <c r="R586" s="413"/>
      <c r="S586" s="413"/>
      <c r="T586" s="413"/>
      <c r="U586" s="413"/>
      <c r="V586" s="413"/>
      <c r="W586" s="413"/>
      <c r="X586" s="413"/>
      <c r="Y586" s="413"/>
      <c r="Z586" s="413"/>
    </row>
    <row r="587" ht="12.0" customHeight="1">
      <c r="A587" s="413"/>
      <c r="B587" s="413"/>
      <c r="C587" s="413"/>
      <c r="D587" s="414"/>
      <c r="E587" s="414"/>
      <c r="F587" s="414"/>
      <c r="G587" s="414"/>
      <c r="H587" s="413"/>
      <c r="I587" s="413"/>
      <c r="J587" s="413"/>
      <c r="K587" s="413"/>
      <c r="L587" s="413"/>
      <c r="M587" s="413"/>
      <c r="N587" s="413"/>
      <c r="O587" s="413"/>
      <c r="P587" s="413"/>
      <c r="Q587" s="413"/>
      <c r="R587" s="413"/>
      <c r="S587" s="413"/>
      <c r="T587" s="413"/>
      <c r="U587" s="413"/>
      <c r="V587" s="413"/>
      <c r="W587" s="413"/>
      <c r="X587" s="413"/>
      <c r="Y587" s="413"/>
      <c r="Z587" s="413"/>
    </row>
    <row r="588" ht="12.0" customHeight="1">
      <c r="A588" s="413"/>
      <c r="B588" s="413"/>
      <c r="C588" s="413"/>
      <c r="D588" s="414"/>
      <c r="E588" s="414"/>
      <c r="F588" s="414"/>
      <c r="G588" s="414"/>
      <c r="H588" s="413"/>
      <c r="I588" s="413"/>
      <c r="J588" s="413"/>
      <c r="K588" s="413"/>
      <c r="L588" s="413"/>
      <c r="M588" s="413"/>
      <c r="N588" s="413"/>
      <c r="O588" s="413"/>
      <c r="P588" s="413"/>
      <c r="Q588" s="413"/>
      <c r="R588" s="413"/>
      <c r="S588" s="413"/>
      <c r="T588" s="413"/>
      <c r="U588" s="413"/>
      <c r="V588" s="413"/>
      <c r="W588" s="413"/>
      <c r="X588" s="413"/>
      <c r="Y588" s="413"/>
      <c r="Z588" s="413"/>
    </row>
    <row r="589" ht="12.0" customHeight="1">
      <c r="A589" s="413"/>
      <c r="B589" s="413"/>
      <c r="C589" s="413"/>
      <c r="D589" s="414"/>
      <c r="E589" s="414"/>
      <c r="F589" s="414"/>
      <c r="G589" s="414"/>
      <c r="H589" s="413"/>
      <c r="I589" s="413"/>
      <c r="J589" s="413"/>
      <c r="K589" s="413"/>
      <c r="L589" s="413"/>
      <c r="M589" s="413"/>
      <c r="N589" s="413"/>
      <c r="O589" s="413"/>
      <c r="P589" s="413"/>
      <c r="Q589" s="413"/>
      <c r="R589" s="413"/>
      <c r="S589" s="413"/>
      <c r="T589" s="413"/>
      <c r="U589" s="413"/>
      <c r="V589" s="413"/>
      <c r="W589" s="413"/>
      <c r="X589" s="413"/>
      <c r="Y589" s="413"/>
      <c r="Z589" s="413"/>
    </row>
    <row r="590" ht="12.0" customHeight="1">
      <c r="A590" s="413"/>
      <c r="B590" s="413"/>
      <c r="C590" s="413"/>
      <c r="D590" s="414"/>
      <c r="E590" s="414"/>
      <c r="F590" s="414"/>
      <c r="G590" s="414"/>
      <c r="H590" s="413"/>
      <c r="I590" s="413"/>
      <c r="J590" s="413"/>
      <c r="K590" s="413"/>
      <c r="L590" s="413"/>
      <c r="M590" s="413"/>
      <c r="N590" s="413"/>
      <c r="O590" s="413"/>
      <c r="P590" s="413"/>
      <c r="Q590" s="413"/>
      <c r="R590" s="413"/>
      <c r="S590" s="413"/>
      <c r="T590" s="413"/>
      <c r="U590" s="413"/>
      <c r="V590" s="413"/>
      <c r="W590" s="413"/>
      <c r="X590" s="413"/>
      <c r="Y590" s="413"/>
      <c r="Z590" s="413"/>
    </row>
    <row r="591" ht="12.0" customHeight="1">
      <c r="A591" s="413"/>
      <c r="B591" s="413"/>
      <c r="C591" s="413"/>
      <c r="D591" s="414"/>
      <c r="E591" s="414"/>
      <c r="F591" s="414"/>
      <c r="G591" s="414"/>
      <c r="H591" s="413"/>
      <c r="I591" s="413"/>
      <c r="J591" s="413"/>
      <c r="K591" s="413"/>
      <c r="L591" s="413"/>
      <c r="M591" s="413"/>
      <c r="N591" s="413"/>
      <c r="O591" s="413"/>
      <c r="P591" s="413"/>
      <c r="Q591" s="413"/>
      <c r="R591" s="413"/>
      <c r="S591" s="413"/>
      <c r="T591" s="413"/>
      <c r="U591" s="413"/>
      <c r="V591" s="413"/>
      <c r="W591" s="413"/>
      <c r="X591" s="413"/>
      <c r="Y591" s="413"/>
      <c r="Z591" s="413"/>
    </row>
    <row r="592" ht="12.0" customHeight="1">
      <c r="A592" s="413"/>
      <c r="B592" s="413"/>
      <c r="C592" s="413"/>
      <c r="D592" s="414"/>
      <c r="E592" s="414"/>
      <c r="F592" s="414"/>
      <c r="G592" s="414"/>
      <c r="H592" s="413"/>
      <c r="I592" s="413"/>
      <c r="J592" s="413"/>
      <c r="K592" s="413"/>
      <c r="L592" s="413"/>
      <c r="M592" s="413"/>
      <c r="N592" s="413"/>
      <c r="O592" s="413"/>
      <c r="P592" s="413"/>
      <c r="Q592" s="413"/>
      <c r="R592" s="413"/>
      <c r="S592" s="413"/>
      <c r="T592" s="413"/>
      <c r="U592" s="413"/>
      <c r="V592" s="413"/>
      <c r="W592" s="413"/>
      <c r="X592" s="413"/>
      <c r="Y592" s="413"/>
      <c r="Z592" s="413"/>
    </row>
    <row r="593" ht="12.0" customHeight="1">
      <c r="A593" s="413"/>
      <c r="B593" s="413"/>
      <c r="C593" s="413"/>
      <c r="D593" s="414"/>
      <c r="E593" s="414"/>
      <c r="F593" s="414"/>
      <c r="G593" s="414"/>
      <c r="H593" s="413"/>
      <c r="I593" s="413"/>
      <c r="J593" s="413"/>
      <c r="K593" s="413"/>
      <c r="L593" s="413"/>
      <c r="M593" s="413"/>
      <c r="N593" s="413"/>
      <c r="O593" s="413"/>
      <c r="P593" s="413"/>
      <c r="Q593" s="413"/>
      <c r="R593" s="413"/>
      <c r="S593" s="413"/>
      <c r="T593" s="413"/>
      <c r="U593" s="413"/>
      <c r="V593" s="413"/>
      <c r="W593" s="413"/>
      <c r="X593" s="413"/>
      <c r="Y593" s="413"/>
      <c r="Z593" s="413"/>
    </row>
    <row r="594" ht="12.0" customHeight="1">
      <c r="A594" s="413"/>
      <c r="B594" s="413"/>
      <c r="C594" s="413"/>
      <c r="D594" s="414"/>
      <c r="E594" s="414"/>
      <c r="F594" s="414"/>
      <c r="G594" s="414"/>
      <c r="H594" s="413"/>
      <c r="I594" s="413"/>
      <c r="J594" s="413"/>
      <c r="K594" s="413"/>
      <c r="L594" s="413"/>
      <c r="M594" s="413"/>
      <c r="N594" s="413"/>
      <c r="O594" s="413"/>
      <c r="P594" s="413"/>
      <c r="Q594" s="413"/>
      <c r="R594" s="413"/>
      <c r="S594" s="413"/>
      <c r="T594" s="413"/>
      <c r="U594" s="413"/>
      <c r="V594" s="413"/>
      <c r="W594" s="413"/>
      <c r="X594" s="413"/>
      <c r="Y594" s="413"/>
      <c r="Z594" s="413"/>
    </row>
    <row r="595" ht="12.0" customHeight="1">
      <c r="A595" s="413"/>
      <c r="B595" s="413"/>
      <c r="C595" s="413"/>
      <c r="D595" s="414"/>
      <c r="E595" s="414"/>
      <c r="F595" s="414"/>
      <c r="G595" s="414"/>
      <c r="H595" s="413"/>
      <c r="I595" s="413"/>
      <c r="J595" s="413"/>
      <c r="K595" s="413"/>
      <c r="L595" s="413"/>
      <c r="M595" s="413"/>
      <c r="N595" s="413"/>
      <c r="O595" s="413"/>
      <c r="P595" s="413"/>
      <c r="Q595" s="413"/>
      <c r="R595" s="413"/>
      <c r="S595" s="413"/>
      <c r="T595" s="413"/>
      <c r="U595" s="413"/>
      <c r="V595" s="413"/>
      <c r="W595" s="413"/>
      <c r="X595" s="413"/>
      <c r="Y595" s="413"/>
      <c r="Z595" s="413"/>
    </row>
    <row r="596" ht="12.0" customHeight="1">
      <c r="A596" s="413"/>
      <c r="B596" s="413"/>
      <c r="C596" s="413"/>
      <c r="D596" s="414"/>
      <c r="E596" s="414"/>
      <c r="F596" s="414"/>
      <c r="G596" s="414"/>
      <c r="H596" s="413"/>
      <c r="I596" s="413"/>
      <c r="J596" s="413"/>
      <c r="K596" s="413"/>
      <c r="L596" s="413"/>
      <c r="M596" s="413"/>
      <c r="N596" s="413"/>
      <c r="O596" s="413"/>
      <c r="P596" s="413"/>
      <c r="Q596" s="413"/>
      <c r="R596" s="413"/>
      <c r="S596" s="413"/>
      <c r="T596" s="413"/>
      <c r="U596" s="413"/>
      <c r="V596" s="413"/>
      <c r="W596" s="413"/>
      <c r="X596" s="413"/>
      <c r="Y596" s="413"/>
      <c r="Z596" s="413"/>
    </row>
    <row r="597" ht="12.0" customHeight="1">
      <c r="A597" s="413"/>
      <c r="B597" s="413"/>
      <c r="C597" s="413"/>
      <c r="D597" s="414"/>
      <c r="E597" s="414"/>
      <c r="F597" s="414"/>
      <c r="G597" s="414"/>
      <c r="H597" s="413"/>
      <c r="I597" s="413"/>
      <c r="J597" s="413"/>
      <c r="K597" s="413"/>
      <c r="L597" s="413"/>
      <c r="M597" s="413"/>
      <c r="N597" s="413"/>
      <c r="O597" s="413"/>
      <c r="P597" s="413"/>
      <c r="Q597" s="413"/>
      <c r="R597" s="413"/>
      <c r="S597" s="413"/>
      <c r="T597" s="413"/>
      <c r="U597" s="413"/>
      <c r="V597" s="413"/>
      <c r="W597" s="413"/>
      <c r="X597" s="413"/>
      <c r="Y597" s="413"/>
      <c r="Z597" s="413"/>
    </row>
    <row r="598" ht="12.0" customHeight="1">
      <c r="A598" s="413"/>
      <c r="B598" s="413"/>
      <c r="C598" s="413"/>
      <c r="D598" s="414"/>
      <c r="E598" s="414"/>
      <c r="F598" s="414"/>
      <c r="G598" s="414"/>
      <c r="H598" s="413"/>
      <c r="I598" s="413"/>
      <c r="J598" s="413"/>
      <c r="K598" s="413"/>
      <c r="L598" s="413"/>
      <c r="M598" s="413"/>
      <c r="N598" s="413"/>
      <c r="O598" s="413"/>
      <c r="P598" s="413"/>
      <c r="Q598" s="413"/>
      <c r="R598" s="413"/>
      <c r="S598" s="413"/>
      <c r="T598" s="413"/>
      <c r="U598" s="413"/>
      <c r="V598" s="413"/>
      <c r="W598" s="413"/>
      <c r="X598" s="413"/>
      <c r="Y598" s="413"/>
      <c r="Z598" s="413"/>
    </row>
    <row r="599" ht="12.0" customHeight="1">
      <c r="A599" s="413"/>
      <c r="B599" s="413"/>
      <c r="C599" s="413"/>
      <c r="D599" s="414"/>
      <c r="E599" s="414"/>
      <c r="F599" s="414"/>
      <c r="G599" s="414"/>
      <c r="H599" s="413"/>
      <c r="I599" s="413"/>
      <c r="J599" s="413"/>
      <c r="K599" s="413"/>
      <c r="L599" s="413"/>
      <c r="M599" s="413"/>
      <c r="N599" s="413"/>
      <c r="O599" s="413"/>
      <c r="P599" s="413"/>
      <c r="Q599" s="413"/>
      <c r="R599" s="413"/>
      <c r="S599" s="413"/>
      <c r="T599" s="413"/>
      <c r="U599" s="413"/>
      <c r="V599" s="413"/>
      <c r="W599" s="413"/>
      <c r="X599" s="413"/>
      <c r="Y599" s="413"/>
      <c r="Z599" s="413"/>
    </row>
    <row r="600" ht="12.0" customHeight="1">
      <c r="A600" s="413"/>
      <c r="B600" s="413"/>
      <c r="C600" s="413"/>
      <c r="D600" s="414"/>
      <c r="E600" s="414"/>
      <c r="F600" s="414"/>
      <c r="G600" s="414"/>
      <c r="H600" s="413"/>
      <c r="I600" s="413"/>
      <c r="J600" s="413"/>
      <c r="K600" s="413"/>
      <c r="L600" s="413"/>
      <c r="M600" s="413"/>
      <c r="N600" s="413"/>
      <c r="O600" s="413"/>
      <c r="P600" s="413"/>
      <c r="Q600" s="413"/>
      <c r="R600" s="413"/>
      <c r="S600" s="413"/>
      <c r="T600" s="413"/>
      <c r="U600" s="413"/>
      <c r="V600" s="413"/>
      <c r="W600" s="413"/>
      <c r="X600" s="413"/>
      <c r="Y600" s="413"/>
      <c r="Z600" s="413"/>
    </row>
    <row r="601" ht="12.0" customHeight="1">
      <c r="A601" s="413"/>
      <c r="B601" s="413"/>
      <c r="C601" s="413"/>
      <c r="D601" s="414"/>
      <c r="E601" s="414"/>
      <c r="F601" s="414"/>
      <c r="G601" s="414"/>
      <c r="H601" s="413"/>
      <c r="I601" s="413"/>
      <c r="J601" s="413"/>
      <c r="K601" s="413"/>
      <c r="L601" s="413"/>
      <c r="M601" s="413"/>
      <c r="N601" s="413"/>
      <c r="O601" s="413"/>
      <c r="P601" s="413"/>
      <c r="Q601" s="413"/>
      <c r="R601" s="413"/>
      <c r="S601" s="413"/>
      <c r="T601" s="413"/>
      <c r="U601" s="413"/>
      <c r="V601" s="413"/>
      <c r="W601" s="413"/>
      <c r="X601" s="413"/>
      <c r="Y601" s="413"/>
      <c r="Z601" s="413"/>
    </row>
    <row r="602" ht="12.0" customHeight="1">
      <c r="A602" s="413"/>
      <c r="B602" s="413"/>
      <c r="C602" s="413"/>
      <c r="D602" s="414"/>
      <c r="E602" s="414"/>
      <c r="F602" s="414"/>
      <c r="G602" s="414"/>
      <c r="H602" s="413"/>
      <c r="I602" s="413"/>
      <c r="J602" s="413"/>
      <c r="K602" s="413"/>
      <c r="L602" s="413"/>
      <c r="M602" s="413"/>
      <c r="N602" s="413"/>
      <c r="O602" s="413"/>
      <c r="P602" s="413"/>
      <c r="Q602" s="413"/>
      <c r="R602" s="413"/>
      <c r="S602" s="413"/>
      <c r="T602" s="413"/>
      <c r="U602" s="413"/>
      <c r="V602" s="413"/>
      <c r="W602" s="413"/>
      <c r="X602" s="413"/>
      <c r="Y602" s="413"/>
      <c r="Z602" s="413"/>
    </row>
    <row r="603" ht="12.0" customHeight="1">
      <c r="A603" s="413"/>
      <c r="B603" s="413"/>
      <c r="C603" s="413"/>
      <c r="D603" s="414"/>
      <c r="E603" s="414"/>
      <c r="F603" s="414"/>
      <c r="G603" s="414"/>
      <c r="H603" s="413"/>
      <c r="I603" s="413"/>
      <c r="J603" s="413"/>
      <c r="K603" s="413"/>
      <c r="L603" s="413"/>
      <c r="M603" s="413"/>
      <c r="N603" s="413"/>
      <c r="O603" s="413"/>
      <c r="P603" s="413"/>
      <c r="Q603" s="413"/>
      <c r="R603" s="413"/>
      <c r="S603" s="413"/>
      <c r="T603" s="413"/>
      <c r="U603" s="413"/>
      <c r="V603" s="413"/>
      <c r="W603" s="413"/>
      <c r="X603" s="413"/>
      <c r="Y603" s="413"/>
      <c r="Z603" s="413"/>
    </row>
    <row r="604" ht="12.0" customHeight="1">
      <c r="A604" s="413"/>
      <c r="B604" s="413"/>
      <c r="C604" s="413"/>
      <c r="D604" s="414"/>
      <c r="E604" s="414"/>
      <c r="F604" s="414"/>
      <c r="G604" s="414"/>
      <c r="H604" s="413"/>
      <c r="I604" s="413"/>
      <c r="J604" s="413"/>
      <c r="K604" s="413"/>
      <c r="L604" s="413"/>
      <c r="M604" s="413"/>
      <c r="N604" s="413"/>
      <c r="O604" s="413"/>
      <c r="P604" s="413"/>
      <c r="Q604" s="413"/>
      <c r="R604" s="413"/>
      <c r="S604" s="413"/>
      <c r="T604" s="413"/>
      <c r="U604" s="413"/>
      <c r="V604" s="413"/>
      <c r="W604" s="413"/>
      <c r="X604" s="413"/>
      <c r="Y604" s="413"/>
      <c r="Z604" s="413"/>
    </row>
    <row r="605" ht="12.0" customHeight="1">
      <c r="A605" s="413"/>
      <c r="B605" s="413"/>
      <c r="C605" s="413"/>
      <c r="D605" s="414"/>
      <c r="E605" s="414"/>
      <c r="F605" s="414"/>
      <c r="G605" s="414"/>
      <c r="H605" s="413"/>
      <c r="I605" s="413"/>
      <c r="J605" s="413"/>
      <c r="K605" s="413"/>
      <c r="L605" s="413"/>
      <c r="M605" s="413"/>
      <c r="N605" s="413"/>
      <c r="O605" s="413"/>
      <c r="P605" s="413"/>
      <c r="Q605" s="413"/>
      <c r="R605" s="413"/>
      <c r="S605" s="413"/>
      <c r="T605" s="413"/>
      <c r="U605" s="413"/>
      <c r="V605" s="413"/>
      <c r="W605" s="413"/>
      <c r="X605" s="413"/>
      <c r="Y605" s="413"/>
      <c r="Z605" s="413"/>
    </row>
    <row r="606" ht="12.0" customHeight="1">
      <c r="A606" s="413"/>
      <c r="B606" s="413"/>
      <c r="C606" s="413"/>
      <c r="D606" s="414"/>
      <c r="E606" s="414"/>
      <c r="F606" s="414"/>
      <c r="G606" s="414"/>
      <c r="H606" s="413"/>
      <c r="I606" s="413"/>
      <c r="J606" s="413"/>
      <c r="K606" s="413"/>
      <c r="L606" s="413"/>
      <c r="M606" s="413"/>
      <c r="N606" s="413"/>
      <c r="O606" s="413"/>
      <c r="P606" s="413"/>
      <c r="Q606" s="413"/>
      <c r="R606" s="413"/>
      <c r="S606" s="413"/>
      <c r="T606" s="413"/>
      <c r="U606" s="413"/>
      <c r="V606" s="413"/>
      <c r="W606" s="413"/>
      <c r="X606" s="413"/>
      <c r="Y606" s="413"/>
      <c r="Z606" s="413"/>
    </row>
    <row r="607" ht="12.0" customHeight="1">
      <c r="A607" s="413"/>
      <c r="B607" s="413"/>
      <c r="C607" s="413"/>
      <c r="D607" s="414"/>
      <c r="E607" s="414"/>
      <c r="F607" s="414"/>
      <c r="G607" s="414"/>
      <c r="H607" s="413"/>
      <c r="I607" s="413"/>
      <c r="J607" s="413"/>
      <c r="K607" s="413"/>
      <c r="L607" s="413"/>
      <c r="M607" s="413"/>
      <c r="N607" s="413"/>
      <c r="O607" s="413"/>
      <c r="P607" s="413"/>
      <c r="Q607" s="413"/>
      <c r="R607" s="413"/>
      <c r="S607" s="413"/>
      <c r="T607" s="413"/>
      <c r="U607" s="413"/>
      <c r="V607" s="413"/>
      <c r="W607" s="413"/>
      <c r="X607" s="413"/>
      <c r="Y607" s="413"/>
      <c r="Z607" s="413"/>
    </row>
    <row r="608" ht="12.0" customHeight="1">
      <c r="A608" s="413"/>
      <c r="B608" s="413"/>
      <c r="C608" s="413"/>
      <c r="D608" s="414"/>
      <c r="E608" s="414"/>
      <c r="F608" s="414"/>
      <c r="G608" s="414"/>
      <c r="H608" s="413"/>
      <c r="I608" s="413"/>
      <c r="J608" s="413"/>
      <c r="K608" s="413"/>
      <c r="L608" s="413"/>
      <c r="M608" s="413"/>
      <c r="N608" s="413"/>
      <c r="O608" s="413"/>
      <c r="P608" s="413"/>
      <c r="Q608" s="413"/>
      <c r="R608" s="413"/>
      <c r="S608" s="413"/>
      <c r="T608" s="413"/>
      <c r="U608" s="413"/>
      <c r="V608" s="413"/>
      <c r="W608" s="413"/>
      <c r="X608" s="413"/>
      <c r="Y608" s="413"/>
      <c r="Z608" s="413"/>
    </row>
    <row r="609" ht="12.0" customHeight="1">
      <c r="A609" s="413"/>
      <c r="B609" s="413"/>
      <c r="C609" s="413"/>
      <c r="D609" s="414"/>
      <c r="E609" s="414"/>
      <c r="F609" s="414"/>
      <c r="G609" s="414"/>
      <c r="H609" s="413"/>
      <c r="I609" s="413"/>
      <c r="J609" s="413"/>
      <c r="K609" s="413"/>
      <c r="L609" s="413"/>
      <c r="M609" s="413"/>
      <c r="N609" s="413"/>
      <c r="O609" s="413"/>
      <c r="P609" s="413"/>
      <c r="Q609" s="413"/>
      <c r="R609" s="413"/>
      <c r="S609" s="413"/>
      <c r="T609" s="413"/>
      <c r="U609" s="413"/>
      <c r="V609" s="413"/>
      <c r="W609" s="413"/>
      <c r="X609" s="413"/>
      <c r="Y609" s="413"/>
      <c r="Z609" s="413"/>
    </row>
    <row r="610" ht="12.0" customHeight="1">
      <c r="A610" s="413"/>
      <c r="B610" s="413"/>
      <c r="C610" s="413"/>
      <c r="D610" s="414"/>
      <c r="E610" s="414"/>
      <c r="F610" s="414"/>
      <c r="G610" s="414"/>
      <c r="H610" s="413"/>
      <c r="I610" s="413"/>
      <c r="J610" s="413"/>
      <c r="K610" s="413"/>
      <c r="L610" s="413"/>
      <c r="M610" s="413"/>
      <c r="N610" s="413"/>
      <c r="O610" s="413"/>
      <c r="P610" s="413"/>
      <c r="Q610" s="413"/>
      <c r="R610" s="413"/>
      <c r="S610" s="413"/>
      <c r="T610" s="413"/>
      <c r="U610" s="413"/>
      <c r="V610" s="413"/>
      <c r="W610" s="413"/>
      <c r="X610" s="413"/>
      <c r="Y610" s="413"/>
      <c r="Z610" s="413"/>
    </row>
    <row r="611" ht="12.0" customHeight="1">
      <c r="A611" s="413"/>
      <c r="B611" s="413"/>
      <c r="C611" s="413"/>
      <c r="D611" s="414"/>
      <c r="E611" s="414"/>
      <c r="F611" s="414"/>
      <c r="G611" s="414"/>
      <c r="H611" s="413"/>
      <c r="I611" s="413"/>
      <c r="J611" s="413"/>
      <c r="K611" s="413"/>
      <c r="L611" s="413"/>
      <c r="M611" s="413"/>
      <c r="N611" s="413"/>
      <c r="O611" s="413"/>
      <c r="P611" s="413"/>
      <c r="Q611" s="413"/>
      <c r="R611" s="413"/>
      <c r="S611" s="413"/>
      <c r="T611" s="413"/>
      <c r="U611" s="413"/>
      <c r="V611" s="413"/>
      <c r="W611" s="413"/>
      <c r="X611" s="413"/>
      <c r="Y611" s="413"/>
      <c r="Z611" s="413"/>
    </row>
    <row r="612" ht="12.0" customHeight="1">
      <c r="A612" s="413"/>
      <c r="B612" s="413"/>
      <c r="C612" s="413"/>
      <c r="D612" s="414"/>
      <c r="E612" s="414"/>
      <c r="F612" s="414"/>
      <c r="G612" s="414"/>
      <c r="H612" s="413"/>
      <c r="I612" s="413"/>
      <c r="J612" s="413"/>
      <c r="K612" s="413"/>
      <c r="L612" s="413"/>
      <c r="M612" s="413"/>
      <c r="N612" s="413"/>
      <c r="O612" s="413"/>
      <c r="P612" s="413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</row>
    <row r="613" ht="12.0" customHeight="1">
      <c r="A613" s="413"/>
      <c r="B613" s="413"/>
      <c r="C613" s="413"/>
      <c r="D613" s="414"/>
      <c r="E613" s="414"/>
      <c r="F613" s="414"/>
      <c r="G613" s="414"/>
      <c r="H613" s="413"/>
      <c r="I613" s="413"/>
      <c r="J613" s="413"/>
      <c r="K613" s="413"/>
      <c r="L613" s="413"/>
      <c r="M613" s="413"/>
      <c r="N613" s="413"/>
      <c r="O613" s="413"/>
      <c r="P613" s="413"/>
      <c r="Q613" s="413"/>
      <c r="R613" s="413"/>
      <c r="S613" s="413"/>
      <c r="T613" s="413"/>
      <c r="U613" s="413"/>
      <c r="V613" s="413"/>
      <c r="W613" s="413"/>
      <c r="X613" s="413"/>
      <c r="Y613" s="413"/>
      <c r="Z613" s="413"/>
    </row>
    <row r="614" ht="12.0" customHeight="1">
      <c r="A614" s="413"/>
      <c r="B614" s="413"/>
      <c r="C614" s="413"/>
      <c r="D614" s="414"/>
      <c r="E614" s="414"/>
      <c r="F614" s="414"/>
      <c r="G614" s="414"/>
      <c r="H614" s="413"/>
      <c r="I614" s="413"/>
      <c r="J614" s="413"/>
      <c r="K614" s="413"/>
      <c r="L614" s="413"/>
      <c r="M614" s="413"/>
      <c r="N614" s="413"/>
      <c r="O614" s="413"/>
      <c r="P614" s="413"/>
      <c r="Q614" s="413"/>
      <c r="R614" s="413"/>
      <c r="S614" s="413"/>
      <c r="T614" s="413"/>
      <c r="U614" s="413"/>
      <c r="V614" s="413"/>
      <c r="W614" s="413"/>
      <c r="X614" s="413"/>
      <c r="Y614" s="413"/>
      <c r="Z614" s="413"/>
    </row>
    <row r="615" ht="12.0" customHeight="1">
      <c r="A615" s="413"/>
      <c r="B615" s="413"/>
      <c r="C615" s="413"/>
      <c r="D615" s="414"/>
      <c r="E615" s="414"/>
      <c r="F615" s="414"/>
      <c r="G615" s="414"/>
      <c r="H615" s="413"/>
      <c r="I615" s="413"/>
      <c r="J615" s="413"/>
      <c r="K615" s="413"/>
      <c r="L615" s="413"/>
      <c r="M615" s="413"/>
      <c r="N615" s="413"/>
      <c r="O615" s="413"/>
      <c r="P615" s="413"/>
      <c r="Q615" s="413"/>
      <c r="R615" s="413"/>
      <c r="S615" s="413"/>
      <c r="T615" s="413"/>
      <c r="U615" s="413"/>
      <c r="V615" s="413"/>
      <c r="W615" s="413"/>
      <c r="X615" s="413"/>
      <c r="Y615" s="413"/>
      <c r="Z615" s="413"/>
    </row>
    <row r="616" ht="12.0" customHeight="1">
      <c r="A616" s="413"/>
      <c r="B616" s="413"/>
      <c r="C616" s="413"/>
      <c r="D616" s="414"/>
      <c r="E616" s="414"/>
      <c r="F616" s="414"/>
      <c r="G616" s="414"/>
      <c r="H616" s="413"/>
      <c r="I616" s="413"/>
      <c r="J616" s="413"/>
      <c r="K616" s="413"/>
      <c r="L616" s="413"/>
      <c r="M616" s="413"/>
      <c r="N616" s="413"/>
      <c r="O616" s="413"/>
      <c r="P616" s="413"/>
      <c r="Q616" s="413"/>
      <c r="R616" s="413"/>
      <c r="S616" s="413"/>
      <c r="T616" s="413"/>
      <c r="U616" s="413"/>
      <c r="V616" s="413"/>
      <c r="W616" s="413"/>
      <c r="X616" s="413"/>
      <c r="Y616" s="413"/>
      <c r="Z616" s="413"/>
    </row>
    <row r="617" ht="12.0" customHeight="1">
      <c r="A617" s="413"/>
      <c r="B617" s="413"/>
      <c r="C617" s="413"/>
      <c r="D617" s="414"/>
      <c r="E617" s="414"/>
      <c r="F617" s="414"/>
      <c r="G617" s="414"/>
      <c r="H617" s="413"/>
      <c r="I617" s="413"/>
      <c r="J617" s="413"/>
      <c r="K617" s="413"/>
      <c r="L617" s="413"/>
      <c r="M617" s="413"/>
      <c r="N617" s="413"/>
      <c r="O617" s="413"/>
      <c r="P617" s="413"/>
      <c r="Q617" s="413"/>
      <c r="R617" s="413"/>
      <c r="S617" s="413"/>
      <c r="T617" s="413"/>
      <c r="U617" s="413"/>
      <c r="V617" s="413"/>
      <c r="W617" s="413"/>
      <c r="X617" s="413"/>
      <c r="Y617" s="413"/>
      <c r="Z617" s="413"/>
    </row>
    <row r="618" ht="12.0" customHeight="1">
      <c r="A618" s="413"/>
      <c r="B618" s="413"/>
      <c r="C618" s="413"/>
      <c r="D618" s="414"/>
      <c r="E618" s="414"/>
      <c r="F618" s="414"/>
      <c r="G618" s="414"/>
      <c r="H618" s="413"/>
      <c r="I618" s="413"/>
      <c r="J618" s="413"/>
      <c r="K618" s="413"/>
      <c r="L618" s="413"/>
      <c r="M618" s="413"/>
      <c r="N618" s="413"/>
      <c r="O618" s="413"/>
      <c r="P618" s="413"/>
      <c r="Q618" s="413"/>
      <c r="R618" s="413"/>
      <c r="S618" s="413"/>
      <c r="T618" s="413"/>
      <c r="U618" s="413"/>
      <c r="V618" s="413"/>
      <c r="W618" s="413"/>
      <c r="X618" s="413"/>
      <c r="Y618" s="413"/>
      <c r="Z618" s="413"/>
    </row>
    <row r="619" ht="12.0" customHeight="1">
      <c r="A619" s="413"/>
      <c r="B619" s="413"/>
      <c r="C619" s="413"/>
      <c r="D619" s="414"/>
      <c r="E619" s="414"/>
      <c r="F619" s="414"/>
      <c r="G619" s="414"/>
      <c r="H619" s="413"/>
      <c r="I619" s="413"/>
      <c r="J619" s="413"/>
      <c r="K619" s="413"/>
      <c r="L619" s="413"/>
      <c r="M619" s="413"/>
      <c r="N619" s="413"/>
      <c r="O619" s="413"/>
      <c r="P619" s="413"/>
      <c r="Q619" s="413"/>
      <c r="R619" s="413"/>
      <c r="S619" s="413"/>
      <c r="T619" s="413"/>
      <c r="U619" s="413"/>
      <c r="V619" s="413"/>
      <c r="W619" s="413"/>
      <c r="X619" s="413"/>
      <c r="Y619" s="413"/>
      <c r="Z619" s="413"/>
    </row>
    <row r="620" ht="12.0" customHeight="1">
      <c r="A620" s="413"/>
      <c r="B620" s="413"/>
      <c r="C620" s="413"/>
      <c r="D620" s="414"/>
      <c r="E620" s="414"/>
      <c r="F620" s="414"/>
      <c r="G620" s="414"/>
      <c r="H620" s="413"/>
      <c r="I620" s="413"/>
      <c r="J620" s="413"/>
      <c r="K620" s="413"/>
      <c r="L620" s="413"/>
      <c r="M620" s="413"/>
      <c r="N620" s="413"/>
      <c r="O620" s="413"/>
      <c r="P620" s="413"/>
      <c r="Q620" s="413"/>
      <c r="R620" s="413"/>
      <c r="S620" s="413"/>
      <c r="T620" s="413"/>
      <c r="U620" s="413"/>
      <c r="V620" s="413"/>
      <c r="W620" s="413"/>
      <c r="X620" s="413"/>
      <c r="Y620" s="413"/>
      <c r="Z620" s="413"/>
    </row>
    <row r="621" ht="12.0" customHeight="1">
      <c r="A621" s="413"/>
      <c r="B621" s="413"/>
      <c r="C621" s="413"/>
      <c r="D621" s="414"/>
      <c r="E621" s="414"/>
      <c r="F621" s="414"/>
      <c r="G621" s="414"/>
      <c r="H621" s="413"/>
      <c r="I621" s="413"/>
      <c r="J621" s="413"/>
      <c r="K621" s="413"/>
      <c r="L621" s="413"/>
      <c r="M621" s="413"/>
      <c r="N621" s="413"/>
      <c r="O621" s="413"/>
      <c r="P621" s="413"/>
      <c r="Q621" s="413"/>
      <c r="R621" s="413"/>
      <c r="S621" s="413"/>
      <c r="T621" s="413"/>
      <c r="U621" s="413"/>
      <c r="V621" s="413"/>
      <c r="W621" s="413"/>
      <c r="X621" s="413"/>
      <c r="Y621" s="413"/>
      <c r="Z621" s="413"/>
    </row>
    <row r="622" ht="12.0" customHeight="1">
      <c r="A622" s="413"/>
      <c r="B622" s="413"/>
      <c r="C622" s="413"/>
      <c r="D622" s="414"/>
      <c r="E622" s="414"/>
      <c r="F622" s="414"/>
      <c r="G622" s="414"/>
      <c r="H622" s="413"/>
      <c r="I622" s="413"/>
      <c r="J622" s="413"/>
      <c r="K622" s="413"/>
      <c r="L622" s="413"/>
      <c r="M622" s="413"/>
      <c r="N622" s="413"/>
      <c r="O622" s="413"/>
      <c r="P622" s="413"/>
      <c r="Q622" s="413"/>
      <c r="R622" s="413"/>
      <c r="S622" s="413"/>
      <c r="T622" s="413"/>
      <c r="U622" s="413"/>
      <c r="V622" s="413"/>
      <c r="W622" s="413"/>
      <c r="X622" s="413"/>
      <c r="Y622" s="413"/>
      <c r="Z622" s="413"/>
    </row>
    <row r="623" ht="12.0" customHeight="1">
      <c r="A623" s="413"/>
      <c r="B623" s="413"/>
      <c r="C623" s="413"/>
      <c r="D623" s="414"/>
      <c r="E623" s="414"/>
      <c r="F623" s="414"/>
      <c r="G623" s="414"/>
      <c r="H623" s="413"/>
      <c r="I623" s="413"/>
      <c r="J623" s="413"/>
      <c r="K623" s="413"/>
      <c r="L623" s="413"/>
      <c r="M623" s="413"/>
      <c r="N623" s="413"/>
      <c r="O623" s="413"/>
      <c r="P623" s="413"/>
      <c r="Q623" s="413"/>
      <c r="R623" s="413"/>
      <c r="S623" s="413"/>
      <c r="T623" s="413"/>
      <c r="U623" s="413"/>
      <c r="V623" s="413"/>
      <c r="W623" s="413"/>
      <c r="X623" s="413"/>
      <c r="Y623" s="413"/>
      <c r="Z623" s="413"/>
    </row>
    <row r="624" ht="12.0" customHeight="1">
      <c r="A624" s="413"/>
      <c r="B624" s="413"/>
      <c r="C624" s="413"/>
      <c r="D624" s="414"/>
      <c r="E624" s="414"/>
      <c r="F624" s="414"/>
      <c r="G624" s="414"/>
      <c r="H624" s="413"/>
      <c r="I624" s="413"/>
      <c r="J624" s="413"/>
      <c r="K624" s="413"/>
      <c r="L624" s="413"/>
      <c r="M624" s="413"/>
      <c r="N624" s="413"/>
      <c r="O624" s="413"/>
      <c r="P624" s="413"/>
      <c r="Q624" s="413"/>
      <c r="R624" s="413"/>
      <c r="S624" s="413"/>
      <c r="T624" s="413"/>
      <c r="U624" s="413"/>
      <c r="V624" s="413"/>
      <c r="W624" s="413"/>
      <c r="X624" s="413"/>
      <c r="Y624" s="413"/>
      <c r="Z624" s="413"/>
    </row>
    <row r="625" ht="12.0" customHeight="1">
      <c r="A625" s="413"/>
      <c r="B625" s="413"/>
      <c r="C625" s="413"/>
      <c r="D625" s="414"/>
      <c r="E625" s="414"/>
      <c r="F625" s="414"/>
      <c r="G625" s="414"/>
      <c r="H625" s="413"/>
      <c r="I625" s="413"/>
      <c r="J625" s="413"/>
      <c r="K625" s="413"/>
      <c r="L625" s="413"/>
      <c r="M625" s="413"/>
      <c r="N625" s="413"/>
      <c r="O625" s="413"/>
      <c r="P625" s="413"/>
      <c r="Q625" s="413"/>
      <c r="R625" s="413"/>
      <c r="S625" s="413"/>
      <c r="T625" s="413"/>
      <c r="U625" s="413"/>
      <c r="V625" s="413"/>
      <c r="W625" s="413"/>
      <c r="X625" s="413"/>
      <c r="Y625" s="413"/>
      <c r="Z625" s="413"/>
    </row>
    <row r="626" ht="12.0" customHeight="1">
      <c r="A626" s="413"/>
      <c r="B626" s="413"/>
      <c r="C626" s="413"/>
      <c r="D626" s="414"/>
      <c r="E626" s="414"/>
      <c r="F626" s="414"/>
      <c r="G626" s="414"/>
      <c r="H626" s="413"/>
      <c r="I626" s="413"/>
      <c r="J626" s="413"/>
      <c r="K626" s="413"/>
      <c r="L626" s="413"/>
      <c r="M626" s="413"/>
      <c r="N626" s="413"/>
      <c r="O626" s="413"/>
      <c r="P626" s="413"/>
      <c r="Q626" s="413"/>
      <c r="R626" s="413"/>
      <c r="S626" s="413"/>
      <c r="T626" s="413"/>
      <c r="U626" s="413"/>
      <c r="V626" s="413"/>
      <c r="W626" s="413"/>
      <c r="X626" s="413"/>
      <c r="Y626" s="413"/>
      <c r="Z626" s="413"/>
    </row>
    <row r="627" ht="12.0" customHeight="1">
      <c r="A627" s="413"/>
      <c r="B627" s="413"/>
      <c r="C627" s="413"/>
      <c r="D627" s="414"/>
      <c r="E627" s="414"/>
      <c r="F627" s="414"/>
      <c r="G627" s="414"/>
      <c r="H627" s="413"/>
      <c r="I627" s="413"/>
      <c r="J627" s="413"/>
      <c r="K627" s="413"/>
      <c r="L627" s="413"/>
      <c r="M627" s="413"/>
      <c r="N627" s="413"/>
      <c r="O627" s="413"/>
      <c r="P627" s="413"/>
      <c r="Q627" s="413"/>
      <c r="R627" s="413"/>
      <c r="S627" s="413"/>
      <c r="T627" s="413"/>
      <c r="U627" s="413"/>
      <c r="V627" s="413"/>
      <c r="W627" s="413"/>
      <c r="X627" s="413"/>
      <c r="Y627" s="413"/>
      <c r="Z627" s="413"/>
    </row>
    <row r="628" ht="12.0" customHeight="1">
      <c r="A628" s="413"/>
      <c r="B628" s="413"/>
      <c r="C628" s="413"/>
      <c r="D628" s="414"/>
      <c r="E628" s="414"/>
      <c r="F628" s="414"/>
      <c r="G628" s="414"/>
      <c r="H628" s="413"/>
      <c r="I628" s="413"/>
      <c r="J628" s="413"/>
      <c r="K628" s="413"/>
      <c r="L628" s="413"/>
      <c r="M628" s="413"/>
      <c r="N628" s="413"/>
      <c r="O628" s="413"/>
      <c r="P628" s="413"/>
      <c r="Q628" s="413"/>
      <c r="R628" s="413"/>
      <c r="S628" s="413"/>
      <c r="T628" s="413"/>
      <c r="U628" s="413"/>
      <c r="V628" s="413"/>
      <c r="W628" s="413"/>
      <c r="X628" s="413"/>
      <c r="Y628" s="413"/>
      <c r="Z628" s="413"/>
    </row>
    <row r="629" ht="12.0" customHeight="1">
      <c r="A629" s="413"/>
      <c r="B629" s="413"/>
      <c r="C629" s="413"/>
      <c r="D629" s="414"/>
      <c r="E629" s="414"/>
      <c r="F629" s="414"/>
      <c r="G629" s="414"/>
      <c r="H629" s="413"/>
      <c r="I629" s="413"/>
      <c r="J629" s="413"/>
      <c r="K629" s="413"/>
      <c r="L629" s="413"/>
      <c r="M629" s="413"/>
      <c r="N629" s="413"/>
      <c r="O629" s="413"/>
      <c r="P629" s="413"/>
      <c r="Q629" s="413"/>
      <c r="R629" s="413"/>
      <c r="S629" s="413"/>
      <c r="T629" s="413"/>
      <c r="U629" s="413"/>
      <c r="V629" s="413"/>
      <c r="W629" s="413"/>
      <c r="X629" s="413"/>
      <c r="Y629" s="413"/>
      <c r="Z629" s="413"/>
    </row>
    <row r="630" ht="12.0" customHeight="1">
      <c r="A630" s="413"/>
      <c r="B630" s="413"/>
      <c r="C630" s="413"/>
      <c r="D630" s="414"/>
      <c r="E630" s="414"/>
      <c r="F630" s="414"/>
      <c r="G630" s="414"/>
      <c r="H630" s="413"/>
      <c r="I630" s="413"/>
      <c r="J630" s="413"/>
      <c r="K630" s="413"/>
      <c r="L630" s="413"/>
      <c r="M630" s="413"/>
      <c r="N630" s="413"/>
      <c r="O630" s="413"/>
      <c r="P630" s="413"/>
      <c r="Q630" s="413"/>
      <c r="R630" s="413"/>
      <c r="S630" s="413"/>
      <c r="T630" s="413"/>
      <c r="U630" s="413"/>
      <c r="V630" s="413"/>
      <c r="W630" s="413"/>
      <c r="X630" s="413"/>
      <c r="Y630" s="413"/>
      <c r="Z630" s="413"/>
    </row>
    <row r="631" ht="12.0" customHeight="1">
      <c r="A631" s="413"/>
      <c r="B631" s="413"/>
      <c r="C631" s="413"/>
      <c r="D631" s="414"/>
      <c r="E631" s="414"/>
      <c r="F631" s="414"/>
      <c r="G631" s="414"/>
      <c r="H631" s="413"/>
      <c r="I631" s="413"/>
      <c r="J631" s="413"/>
      <c r="K631" s="413"/>
      <c r="L631" s="413"/>
      <c r="M631" s="413"/>
      <c r="N631" s="413"/>
      <c r="O631" s="413"/>
      <c r="P631" s="413"/>
      <c r="Q631" s="413"/>
      <c r="R631" s="413"/>
      <c r="S631" s="413"/>
      <c r="T631" s="413"/>
      <c r="U631" s="413"/>
      <c r="V631" s="413"/>
      <c r="W631" s="413"/>
      <c r="X631" s="413"/>
      <c r="Y631" s="413"/>
      <c r="Z631" s="413"/>
    </row>
    <row r="632" ht="12.0" customHeight="1">
      <c r="A632" s="413"/>
      <c r="B632" s="413"/>
      <c r="C632" s="413"/>
      <c r="D632" s="414"/>
      <c r="E632" s="414"/>
      <c r="F632" s="414"/>
      <c r="G632" s="414"/>
      <c r="H632" s="413"/>
      <c r="I632" s="413"/>
      <c r="J632" s="413"/>
      <c r="K632" s="413"/>
      <c r="L632" s="413"/>
      <c r="M632" s="413"/>
      <c r="N632" s="413"/>
      <c r="O632" s="413"/>
      <c r="P632" s="413"/>
      <c r="Q632" s="413"/>
      <c r="R632" s="413"/>
      <c r="S632" s="413"/>
      <c r="T632" s="413"/>
      <c r="U632" s="413"/>
      <c r="V632" s="413"/>
      <c r="W632" s="413"/>
      <c r="X632" s="413"/>
      <c r="Y632" s="413"/>
      <c r="Z632" s="413"/>
    </row>
    <row r="633" ht="12.0" customHeight="1">
      <c r="A633" s="413"/>
      <c r="B633" s="413"/>
      <c r="C633" s="413"/>
      <c r="D633" s="414"/>
      <c r="E633" s="414"/>
      <c r="F633" s="414"/>
      <c r="G633" s="414"/>
      <c r="H633" s="413"/>
      <c r="I633" s="413"/>
      <c r="J633" s="413"/>
      <c r="K633" s="413"/>
      <c r="L633" s="413"/>
      <c r="M633" s="413"/>
      <c r="N633" s="413"/>
      <c r="O633" s="413"/>
      <c r="P633" s="413"/>
      <c r="Q633" s="413"/>
      <c r="R633" s="413"/>
      <c r="S633" s="413"/>
      <c r="T633" s="413"/>
      <c r="U633" s="413"/>
      <c r="V633" s="413"/>
      <c r="W633" s="413"/>
      <c r="X633" s="413"/>
      <c r="Y633" s="413"/>
      <c r="Z633" s="413"/>
    </row>
    <row r="634" ht="12.0" customHeight="1">
      <c r="A634" s="413"/>
      <c r="B634" s="413"/>
      <c r="C634" s="413"/>
      <c r="D634" s="414"/>
      <c r="E634" s="414"/>
      <c r="F634" s="414"/>
      <c r="G634" s="414"/>
      <c r="H634" s="413"/>
      <c r="I634" s="413"/>
      <c r="J634" s="413"/>
      <c r="K634" s="413"/>
      <c r="L634" s="413"/>
      <c r="M634" s="413"/>
      <c r="N634" s="413"/>
      <c r="O634" s="413"/>
      <c r="P634" s="413"/>
      <c r="Q634" s="413"/>
      <c r="R634" s="413"/>
      <c r="S634" s="413"/>
      <c r="T634" s="413"/>
      <c r="U634" s="413"/>
      <c r="V634" s="413"/>
      <c r="W634" s="413"/>
      <c r="X634" s="413"/>
      <c r="Y634" s="413"/>
      <c r="Z634" s="413"/>
    </row>
    <row r="635" ht="12.0" customHeight="1">
      <c r="A635" s="413"/>
      <c r="B635" s="413"/>
      <c r="C635" s="413"/>
      <c r="D635" s="414"/>
      <c r="E635" s="414"/>
      <c r="F635" s="414"/>
      <c r="G635" s="414"/>
      <c r="H635" s="413"/>
      <c r="I635" s="413"/>
      <c r="J635" s="413"/>
      <c r="K635" s="413"/>
      <c r="L635" s="413"/>
      <c r="M635" s="413"/>
      <c r="N635" s="413"/>
      <c r="O635" s="413"/>
      <c r="P635" s="413"/>
      <c r="Q635" s="413"/>
      <c r="R635" s="413"/>
      <c r="S635" s="413"/>
      <c r="T635" s="413"/>
      <c r="U635" s="413"/>
      <c r="V635" s="413"/>
      <c r="W635" s="413"/>
      <c r="X635" s="413"/>
      <c r="Y635" s="413"/>
      <c r="Z635" s="413"/>
    </row>
    <row r="636" ht="12.0" customHeight="1">
      <c r="A636" s="413"/>
      <c r="B636" s="413"/>
      <c r="C636" s="413"/>
      <c r="D636" s="414"/>
      <c r="E636" s="414"/>
      <c r="F636" s="414"/>
      <c r="G636" s="414"/>
      <c r="H636" s="413"/>
      <c r="I636" s="413"/>
      <c r="J636" s="413"/>
      <c r="K636" s="413"/>
      <c r="L636" s="413"/>
      <c r="M636" s="413"/>
      <c r="N636" s="413"/>
      <c r="O636" s="413"/>
      <c r="P636" s="413"/>
      <c r="Q636" s="413"/>
      <c r="R636" s="413"/>
      <c r="S636" s="413"/>
      <c r="T636" s="413"/>
      <c r="U636" s="413"/>
      <c r="V636" s="413"/>
      <c r="W636" s="413"/>
      <c r="X636" s="413"/>
      <c r="Y636" s="413"/>
      <c r="Z636" s="413"/>
    </row>
    <row r="637" ht="12.0" customHeight="1">
      <c r="A637" s="413"/>
      <c r="B637" s="413"/>
      <c r="C637" s="413"/>
      <c r="D637" s="414"/>
      <c r="E637" s="414"/>
      <c r="F637" s="414"/>
      <c r="G637" s="414"/>
      <c r="H637" s="413"/>
      <c r="I637" s="413"/>
      <c r="J637" s="413"/>
      <c r="K637" s="413"/>
      <c r="L637" s="413"/>
      <c r="M637" s="413"/>
      <c r="N637" s="413"/>
      <c r="O637" s="413"/>
      <c r="P637" s="413"/>
      <c r="Q637" s="413"/>
      <c r="R637" s="413"/>
      <c r="S637" s="413"/>
      <c r="T637" s="413"/>
      <c r="U637" s="413"/>
      <c r="V637" s="413"/>
      <c r="W637" s="413"/>
      <c r="X637" s="413"/>
      <c r="Y637" s="413"/>
      <c r="Z637" s="413"/>
    </row>
    <row r="638" ht="12.0" customHeight="1">
      <c r="A638" s="413"/>
      <c r="B638" s="413"/>
      <c r="C638" s="413"/>
      <c r="D638" s="414"/>
      <c r="E638" s="414"/>
      <c r="F638" s="414"/>
      <c r="G638" s="414"/>
      <c r="H638" s="413"/>
      <c r="I638" s="413"/>
      <c r="J638" s="413"/>
      <c r="K638" s="413"/>
      <c r="L638" s="413"/>
      <c r="M638" s="413"/>
      <c r="N638" s="413"/>
      <c r="O638" s="413"/>
      <c r="P638" s="413"/>
      <c r="Q638" s="413"/>
      <c r="R638" s="413"/>
      <c r="S638" s="413"/>
      <c r="T638" s="413"/>
      <c r="U638" s="413"/>
      <c r="V638" s="413"/>
      <c r="W638" s="413"/>
      <c r="X638" s="413"/>
      <c r="Y638" s="413"/>
      <c r="Z638" s="413"/>
    </row>
    <row r="639" ht="12.0" customHeight="1">
      <c r="A639" s="413"/>
      <c r="B639" s="413"/>
      <c r="C639" s="413"/>
      <c r="D639" s="414"/>
      <c r="E639" s="414"/>
      <c r="F639" s="414"/>
      <c r="G639" s="414"/>
      <c r="H639" s="413"/>
      <c r="I639" s="413"/>
      <c r="J639" s="413"/>
      <c r="K639" s="413"/>
      <c r="L639" s="413"/>
      <c r="M639" s="413"/>
      <c r="N639" s="413"/>
      <c r="O639" s="413"/>
      <c r="P639" s="413"/>
      <c r="Q639" s="413"/>
      <c r="R639" s="413"/>
      <c r="S639" s="413"/>
      <c r="T639" s="413"/>
      <c r="U639" s="413"/>
      <c r="V639" s="413"/>
      <c r="W639" s="413"/>
      <c r="X639" s="413"/>
      <c r="Y639" s="413"/>
      <c r="Z639" s="413"/>
    </row>
    <row r="640" ht="12.0" customHeight="1">
      <c r="A640" s="413"/>
      <c r="B640" s="413"/>
      <c r="C640" s="413"/>
      <c r="D640" s="414"/>
      <c r="E640" s="414"/>
      <c r="F640" s="414"/>
      <c r="G640" s="414"/>
      <c r="H640" s="413"/>
      <c r="I640" s="413"/>
      <c r="J640" s="413"/>
      <c r="K640" s="413"/>
      <c r="L640" s="413"/>
      <c r="M640" s="413"/>
      <c r="N640" s="413"/>
      <c r="O640" s="413"/>
      <c r="P640" s="413"/>
      <c r="Q640" s="413"/>
      <c r="R640" s="413"/>
      <c r="S640" s="413"/>
      <c r="T640" s="413"/>
      <c r="U640" s="413"/>
      <c r="V640" s="413"/>
      <c r="W640" s="413"/>
      <c r="X640" s="413"/>
      <c r="Y640" s="413"/>
      <c r="Z640" s="413"/>
    </row>
    <row r="641" ht="12.0" customHeight="1">
      <c r="A641" s="413"/>
      <c r="B641" s="413"/>
      <c r="C641" s="413"/>
      <c r="D641" s="414"/>
      <c r="E641" s="414"/>
      <c r="F641" s="414"/>
      <c r="G641" s="414"/>
      <c r="H641" s="413"/>
      <c r="I641" s="413"/>
      <c r="J641" s="413"/>
      <c r="K641" s="413"/>
      <c r="L641" s="413"/>
      <c r="M641" s="413"/>
      <c r="N641" s="413"/>
      <c r="O641" s="413"/>
      <c r="P641" s="413"/>
      <c r="Q641" s="413"/>
      <c r="R641" s="413"/>
      <c r="S641" s="413"/>
      <c r="T641" s="413"/>
      <c r="U641" s="413"/>
      <c r="V641" s="413"/>
      <c r="W641" s="413"/>
      <c r="X641" s="413"/>
      <c r="Y641" s="413"/>
      <c r="Z641" s="413"/>
    </row>
    <row r="642" ht="12.0" customHeight="1">
      <c r="A642" s="413"/>
      <c r="B642" s="413"/>
      <c r="C642" s="413"/>
      <c r="D642" s="414"/>
      <c r="E642" s="414"/>
      <c r="F642" s="414"/>
      <c r="G642" s="414"/>
      <c r="H642" s="413"/>
      <c r="I642" s="413"/>
      <c r="J642" s="413"/>
      <c r="K642" s="413"/>
      <c r="L642" s="413"/>
      <c r="M642" s="413"/>
      <c r="N642" s="413"/>
      <c r="O642" s="413"/>
      <c r="P642" s="413"/>
      <c r="Q642" s="413"/>
      <c r="R642" s="413"/>
      <c r="S642" s="413"/>
      <c r="T642" s="413"/>
      <c r="U642" s="413"/>
      <c r="V642" s="413"/>
      <c r="W642" s="413"/>
      <c r="X642" s="413"/>
      <c r="Y642" s="413"/>
      <c r="Z642" s="413"/>
    </row>
    <row r="643" ht="12.0" customHeight="1">
      <c r="A643" s="413"/>
      <c r="B643" s="413"/>
      <c r="C643" s="413"/>
      <c r="D643" s="414"/>
      <c r="E643" s="414"/>
      <c r="F643" s="414"/>
      <c r="G643" s="414"/>
      <c r="H643" s="413"/>
      <c r="I643" s="413"/>
      <c r="J643" s="413"/>
      <c r="K643" s="413"/>
      <c r="L643" s="413"/>
      <c r="M643" s="413"/>
      <c r="N643" s="413"/>
      <c r="O643" s="413"/>
      <c r="P643" s="413"/>
      <c r="Q643" s="413"/>
      <c r="R643" s="413"/>
      <c r="S643" s="413"/>
      <c r="T643" s="413"/>
      <c r="U643" s="413"/>
      <c r="V643" s="413"/>
      <c r="W643" s="413"/>
      <c r="X643" s="413"/>
      <c r="Y643" s="413"/>
      <c r="Z643" s="413"/>
    </row>
    <row r="644" ht="12.0" customHeight="1">
      <c r="A644" s="413"/>
      <c r="B644" s="413"/>
      <c r="C644" s="413"/>
      <c r="D644" s="414"/>
      <c r="E644" s="414"/>
      <c r="F644" s="414"/>
      <c r="G644" s="414"/>
      <c r="H644" s="413"/>
      <c r="I644" s="413"/>
      <c r="J644" s="413"/>
      <c r="K644" s="413"/>
      <c r="L644" s="413"/>
      <c r="M644" s="413"/>
      <c r="N644" s="413"/>
      <c r="O644" s="413"/>
      <c r="P644" s="413"/>
      <c r="Q644" s="413"/>
      <c r="R644" s="413"/>
      <c r="S644" s="413"/>
      <c r="T644" s="413"/>
      <c r="U644" s="413"/>
      <c r="V644" s="413"/>
      <c r="W644" s="413"/>
      <c r="X644" s="413"/>
      <c r="Y644" s="413"/>
      <c r="Z644" s="413"/>
    </row>
    <row r="645" ht="12.0" customHeight="1">
      <c r="A645" s="413"/>
      <c r="B645" s="413"/>
      <c r="C645" s="413"/>
      <c r="D645" s="414"/>
      <c r="E645" s="414"/>
      <c r="F645" s="414"/>
      <c r="G645" s="414"/>
      <c r="H645" s="413"/>
      <c r="I645" s="413"/>
      <c r="J645" s="413"/>
      <c r="K645" s="413"/>
      <c r="L645" s="413"/>
      <c r="M645" s="413"/>
      <c r="N645" s="413"/>
      <c r="O645" s="413"/>
      <c r="P645" s="413"/>
      <c r="Q645" s="413"/>
      <c r="R645" s="413"/>
      <c r="S645" s="413"/>
      <c r="T645" s="413"/>
      <c r="U645" s="413"/>
      <c r="V645" s="413"/>
      <c r="W645" s="413"/>
      <c r="X645" s="413"/>
      <c r="Y645" s="413"/>
      <c r="Z645" s="413"/>
    </row>
    <row r="646" ht="12.0" customHeight="1">
      <c r="A646" s="413"/>
      <c r="B646" s="413"/>
      <c r="C646" s="413"/>
      <c r="D646" s="414"/>
      <c r="E646" s="414"/>
      <c r="F646" s="414"/>
      <c r="G646" s="414"/>
      <c r="H646" s="413"/>
      <c r="I646" s="413"/>
      <c r="J646" s="413"/>
      <c r="K646" s="413"/>
      <c r="L646" s="413"/>
      <c r="M646" s="413"/>
      <c r="N646" s="413"/>
      <c r="O646" s="413"/>
      <c r="P646" s="413"/>
      <c r="Q646" s="413"/>
      <c r="R646" s="413"/>
      <c r="S646" s="413"/>
      <c r="T646" s="413"/>
      <c r="U646" s="413"/>
      <c r="V646" s="413"/>
      <c r="W646" s="413"/>
      <c r="X646" s="413"/>
      <c r="Y646" s="413"/>
      <c r="Z646" s="413"/>
    </row>
    <row r="647" ht="12.0" customHeight="1">
      <c r="A647" s="413"/>
      <c r="B647" s="413"/>
      <c r="C647" s="413"/>
      <c r="D647" s="414"/>
      <c r="E647" s="414"/>
      <c r="F647" s="414"/>
      <c r="G647" s="414"/>
      <c r="H647" s="413"/>
      <c r="I647" s="413"/>
      <c r="J647" s="413"/>
      <c r="K647" s="413"/>
      <c r="L647" s="413"/>
      <c r="M647" s="413"/>
      <c r="N647" s="413"/>
      <c r="O647" s="413"/>
      <c r="P647" s="413"/>
      <c r="Q647" s="413"/>
      <c r="R647" s="413"/>
      <c r="S647" s="413"/>
      <c r="T647" s="413"/>
      <c r="U647" s="413"/>
      <c r="V647" s="413"/>
      <c r="W647" s="413"/>
      <c r="X647" s="413"/>
      <c r="Y647" s="413"/>
      <c r="Z647" s="413"/>
    </row>
    <row r="648" ht="12.0" customHeight="1">
      <c r="A648" s="413"/>
      <c r="B648" s="413"/>
      <c r="C648" s="413"/>
      <c r="D648" s="414"/>
      <c r="E648" s="414"/>
      <c r="F648" s="414"/>
      <c r="G648" s="414"/>
      <c r="H648" s="413"/>
      <c r="I648" s="413"/>
      <c r="J648" s="413"/>
      <c r="K648" s="413"/>
      <c r="L648" s="413"/>
      <c r="M648" s="413"/>
      <c r="N648" s="413"/>
      <c r="O648" s="413"/>
      <c r="P648" s="413"/>
      <c r="Q648" s="413"/>
      <c r="R648" s="413"/>
      <c r="S648" s="413"/>
      <c r="T648" s="413"/>
      <c r="U648" s="413"/>
      <c r="V648" s="413"/>
      <c r="W648" s="413"/>
      <c r="X648" s="413"/>
      <c r="Y648" s="413"/>
      <c r="Z648" s="413"/>
    </row>
    <row r="649" ht="12.0" customHeight="1">
      <c r="A649" s="413"/>
      <c r="B649" s="413"/>
      <c r="C649" s="413"/>
      <c r="D649" s="414"/>
      <c r="E649" s="414"/>
      <c r="F649" s="414"/>
      <c r="G649" s="414"/>
      <c r="H649" s="413"/>
      <c r="I649" s="413"/>
      <c r="J649" s="413"/>
      <c r="K649" s="413"/>
      <c r="L649" s="413"/>
      <c r="M649" s="413"/>
      <c r="N649" s="413"/>
      <c r="O649" s="413"/>
      <c r="P649" s="413"/>
      <c r="Q649" s="413"/>
      <c r="R649" s="413"/>
      <c r="S649" s="413"/>
      <c r="T649" s="413"/>
      <c r="U649" s="413"/>
      <c r="V649" s="413"/>
      <c r="W649" s="413"/>
      <c r="X649" s="413"/>
      <c r="Y649" s="413"/>
      <c r="Z649" s="413"/>
    </row>
    <row r="650" ht="12.0" customHeight="1">
      <c r="A650" s="413"/>
      <c r="B650" s="413"/>
      <c r="C650" s="413"/>
      <c r="D650" s="414"/>
      <c r="E650" s="414"/>
      <c r="F650" s="414"/>
      <c r="G650" s="414"/>
      <c r="H650" s="413"/>
      <c r="I650" s="413"/>
      <c r="J650" s="413"/>
      <c r="K650" s="413"/>
      <c r="L650" s="413"/>
      <c r="M650" s="413"/>
      <c r="N650" s="413"/>
      <c r="O650" s="413"/>
      <c r="P650" s="413"/>
      <c r="Q650" s="413"/>
      <c r="R650" s="413"/>
      <c r="S650" s="413"/>
      <c r="T650" s="413"/>
      <c r="U650" s="413"/>
      <c r="V650" s="413"/>
      <c r="W650" s="413"/>
      <c r="X650" s="413"/>
      <c r="Y650" s="413"/>
      <c r="Z650" s="413"/>
    </row>
    <row r="651" ht="12.0" customHeight="1">
      <c r="A651" s="413"/>
      <c r="B651" s="413"/>
      <c r="C651" s="413"/>
      <c r="D651" s="414"/>
      <c r="E651" s="414"/>
      <c r="F651" s="414"/>
      <c r="G651" s="414"/>
      <c r="H651" s="413"/>
      <c r="I651" s="413"/>
      <c r="J651" s="413"/>
      <c r="K651" s="413"/>
      <c r="L651" s="413"/>
      <c r="M651" s="413"/>
      <c r="N651" s="413"/>
      <c r="O651" s="413"/>
      <c r="P651" s="413"/>
      <c r="Q651" s="413"/>
      <c r="R651" s="413"/>
      <c r="S651" s="413"/>
      <c r="T651" s="413"/>
      <c r="U651" s="413"/>
      <c r="V651" s="413"/>
      <c r="W651" s="413"/>
      <c r="X651" s="413"/>
      <c r="Y651" s="413"/>
      <c r="Z651" s="413"/>
    </row>
    <row r="652" ht="12.0" customHeight="1">
      <c r="A652" s="413"/>
      <c r="B652" s="413"/>
      <c r="C652" s="413"/>
      <c r="D652" s="414"/>
      <c r="E652" s="414"/>
      <c r="F652" s="414"/>
      <c r="G652" s="414"/>
      <c r="H652" s="413"/>
      <c r="I652" s="413"/>
      <c r="J652" s="413"/>
      <c r="K652" s="413"/>
      <c r="L652" s="413"/>
      <c r="M652" s="413"/>
      <c r="N652" s="413"/>
      <c r="O652" s="413"/>
      <c r="P652" s="413"/>
      <c r="Q652" s="413"/>
      <c r="R652" s="413"/>
      <c r="S652" s="413"/>
      <c r="T652" s="413"/>
      <c r="U652" s="413"/>
      <c r="V652" s="413"/>
      <c r="W652" s="413"/>
      <c r="X652" s="413"/>
      <c r="Y652" s="413"/>
      <c r="Z652" s="413"/>
    </row>
    <row r="653" ht="12.0" customHeight="1">
      <c r="A653" s="413"/>
      <c r="B653" s="413"/>
      <c r="C653" s="413"/>
      <c r="D653" s="414"/>
      <c r="E653" s="414"/>
      <c r="F653" s="414"/>
      <c r="G653" s="414"/>
      <c r="H653" s="413"/>
      <c r="I653" s="413"/>
      <c r="J653" s="413"/>
      <c r="K653" s="413"/>
      <c r="L653" s="413"/>
      <c r="M653" s="413"/>
      <c r="N653" s="413"/>
      <c r="O653" s="413"/>
      <c r="P653" s="413"/>
      <c r="Q653" s="413"/>
      <c r="R653" s="413"/>
      <c r="S653" s="413"/>
      <c r="T653" s="413"/>
      <c r="U653" s="413"/>
      <c r="V653" s="413"/>
      <c r="W653" s="413"/>
      <c r="X653" s="413"/>
      <c r="Y653" s="413"/>
      <c r="Z653" s="413"/>
    </row>
    <row r="654" ht="12.0" customHeight="1">
      <c r="A654" s="413"/>
      <c r="B654" s="413"/>
      <c r="C654" s="413"/>
      <c r="D654" s="414"/>
      <c r="E654" s="414"/>
      <c r="F654" s="414"/>
      <c r="G654" s="414"/>
      <c r="H654" s="413"/>
      <c r="I654" s="413"/>
      <c r="J654" s="413"/>
      <c r="K654" s="413"/>
      <c r="L654" s="413"/>
      <c r="M654" s="413"/>
      <c r="N654" s="413"/>
      <c r="O654" s="413"/>
      <c r="P654" s="413"/>
      <c r="Q654" s="413"/>
      <c r="R654" s="413"/>
      <c r="S654" s="413"/>
      <c r="T654" s="413"/>
      <c r="U654" s="413"/>
      <c r="V654" s="413"/>
      <c r="W654" s="413"/>
      <c r="X654" s="413"/>
      <c r="Y654" s="413"/>
      <c r="Z654" s="413"/>
    </row>
    <row r="655" ht="12.0" customHeight="1">
      <c r="A655" s="413"/>
      <c r="B655" s="413"/>
      <c r="C655" s="413"/>
      <c r="D655" s="414"/>
      <c r="E655" s="414"/>
      <c r="F655" s="414"/>
      <c r="G655" s="414"/>
      <c r="H655" s="413"/>
      <c r="I655" s="413"/>
      <c r="J655" s="413"/>
      <c r="K655" s="413"/>
      <c r="L655" s="413"/>
      <c r="M655" s="413"/>
      <c r="N655" s="413"/>
      <c r="O655" s="413"/>
      <c r="P655" s="413"/>
      <c r="Q655" s="413"/>
      <c r="R655" s="413"/>
      <c r="S655" s="413"/>
      <c r="T655" s="413"/>
      <c r="U655" s="413"/>
      <c r="V655" s="413"/>
      <c r="W655" s="413"/>
      <c r="X655" s="413"/>
      <c r="Y655" s="413"/>
      <c r="Z655" s="413"/>
    </row>
    <row r="656" ht="12.0" customHeight="1">
      <c r="A656" s="413"/>
      <c r="B656" s="413"/>
      <c r="C656" s="413"/>
      <c r="D656" s="414"/>
      <c r="E656" s="414"/>
      <c r="F656" s="414"/>
      <c r="G656" s="414"/>
      <c r="H656" s="413"/>
      <c r="I656" s="413"/>
      <c r="J656" s="413"/>
      <c r="K656" s="413"/>
      <c r="L656" s="413"/>
      <c r="M656" s="413"/>
      <c r="N656" s="413"/>
      <c r="O656" s="413"/>
      <c r="P656" s="413"/>
      <c r="Q656" s="413"/>
      <c r="R656" s="413"/>
      <c r="S656" s="413"/>
      <c r="T656" s="413"/>
      <c r="U656" s="413"/>
      <c r="V656" s="413"/>
      <c r="W656" s="413"/>
      <c r="X656" s="413"/>
      <c r="Y656" s="413"/>
      <c r="Z656" s="413"/>
    </row>
    <row r="657" ht="12.0" customHeight="1">
      <c r="A657" s="413"/>
      <c r="B657" s="413"/>
      <c r="C657" s="413"/>
      <c r="D657" s="414"/>
      <c r="E657" s="414"/>
      <c r="F657" s="414"/>
      <c r="G657" s="414"/>
      <c r="H657" s="413"/>
      <c r="I657" s="413"/>
      <c r="J657" s="413"/>
      <c r="K657" s="413"/>
      <c r="L657" s="413"/>
      <c r="M657" s="413"/>
      <c r="N657" s="413"/>
      <c r="O657" s="413"/>
      <c r="P657" s="413"/>
      <c r="Q657" s="413"/>
      <c r="R657" s="413"/>
      <c r="S657" s="413"/>
      <c r="T657" s="413"/>
      <c r="U657" s="413"/>
      <c r="V657" s="413"/>
      <c r="W657" s="413"/>
      <c r="X657" s="413"/>
      <c r="Y657" s="413"/>
      <c r="Z657" s="413"/>
    </row>
    <row r="658" ht="12.0" customHeight="1">
      <c r="A658" s="413"/>
      <c r="B658" s="413"/>
      <c r="C658" s="413"/>
      <c r="D658" s="414"/>
      <c r="E658" s="414"/>
      <c r="F658" s="414"/>
      <c r="G658" s="414"/>
      <c r="H658" s="413"/>
      <c r="I658" s="413"/>
      <c r="J658" s="413"/>
      <c r="K658" s="413"/>
      <c r="L658" s="413"/>
      <c r="M658" s="413"/>
      <c r="N658" s="413"/>
      <c r="O658" s="413"/>
      <c r="P658" s="413"/>
      <c r="Q658" s="413"/>
      <c r="R658" s="413"/>
      <c r="S658" s="413"/>
      <c r="T658" s="413"/>
      <c r="U658" s="413"/>
      <c r="V658" s="413"/>
      <c r="W658" s="413"/>
      <c r="X658" s="413"/>
      <c r="Y658" s="413"/>
      <c r="Z658" s="413"/>
    </row>
    <row r="659" ht="12.0" customHeight="1">
      <c r="A659" s="413"/>
      <c r="B659" s="413"/>
      <c r="C659" s="413"/>
      <c r="D659" s="414"/>
      <c r="E659" s="414"/>
      <c r="F659" s="414"/>
      <c r="G659" s="414"/>
      <c r="H659" s="413"/>
      <c r="I659" s="413"/>
      <c r="J659" s="413"/>
      <c r="K659" s="413"/>
      <c r="L659" s="413"/>
      <c r="M659" s="413"/>
      <c r="N659" s="413"/>
      <c r="O659" s="413"/>
      <c r="P659" s="413"/>
      <c r="Q659" s="413"/>
      <c r="R659" s="413"/>
      <c r="S659" s="413"/>
      <c r="T659" s="413"/>
      <c r="U659" s="413"/>
      <c r="V659" s="413"/>
      <c r="W659" s="413"/>
      <c r="X659" s="413"/>
      <c r="Y659" s="413"/>
      <c r="Z659" s="413"/>
    </row>
    <row r="660" ht="12.0" customHeight="1">
      <c r="A660" s="413"/>
      <c r="B660" s="413"/>
      <c r="C660" s="413"/>
      <c r="D660" s="414"/>
      <c r="E660" s="414"/>
      <c r="F660" s="414"/>
      <c r="G660" s="414"/>
      <c r="H660" s="413"/>
      <c r="I660" s="413"/>
      <c r="J660" s="413"/>
      <c r="K660" s="413"/>
      <c r="L660" s="413"/>
      <c r="M660" s="413"/>
      <c r="N660" s="413"/>
      <c r="O660" s="413"/>
      <c r="P660" s="413"/>
      <c r="Q660" s="413"/>
      <c r="R660" s="413"/>
      <c r="S660" s="413"/>
      <c r="T660" s="413"/>
      <c r="U660" s="413"/>
      <c r="V660" s="413"/>
      <c r="W660" s="413"/>
      <c r="X660" s="413"/>
      <c r="Y660" s="413"/>
      <c r="Z660" s="413"/>
    </row>
    <row r="661" ht="12.0" customHeight="1">
      <c r="A661" s="413"/>
      <c r="B661" s="413"/>
      <c r="C661" s="413"/>
      <c r="D661" s="414"/>
      <c r="E661" s="414"/>
      <c r="F661" s="414"/>
      <c r="G661" s="414"/>
      <c r="H661" s="413"/>
      <c r="I661" s="413"/>
      <c r="J661" s="413"/>
      <c r="K661" s="413"/>
      <c r="L661" s="413"/>
      <c r="M661" s="413"/>
      <c r="N661" s="413"/>
      <c r="O661" s="413"/>
      <c r="P661" s="413"/>
      <c r="Q661" s="413"/>
      <c r="R661" s="413"/>
      <c r="S661" s="413"/>
      <c r="T661" s="413"/>
      <c r="U661" s="413"/>
      <c r="V661" s="413"/>
      <c r="W661" s="413"/>
      <c r="X661" s="413"/>
      <c r="Y661" s="413"/>
      <c r="Z661" s="413"/>
    </row>
    <row r="662" ht="12.0" customHeight="1">
      <c r="A662" s="413"/>
      <c r="B662" s="413"/>
      <c r="C662" s="413"/>
      <c r="D662" s="414"/>
      <c r="E662" s="414"/>
      <c r="F662" s="414"/>
      <c r="G662" s="414"/>
      <c r="H662" s="413"/>
      <c r="I662" s="413"/>
      <c r="J662" s="413"/>
      <c r="K662" s="413"/>
      <c r="L662" s="413"/>
      <c r="M662" s="413"/>
      <c r="N662" s="413"/>
      <c r="O662" s="413"/>
      <c r="P662" s="413"/>
      <c r="Q662" s="413"/>
      <c r="R662" s="413"/>
      <c r="S662" s="413"/>
      <c r="T662" s="413"/>
      <c r="U662" s="413"/>
      <c r="V662" s="413"/>
      <c r="W662" s="413"/>
      <c r="X662" s="413"/>
      <c r="Y662" s="413"/>
      <c r="Z662" s="413"/>
    </row>
    <row r="663" ht="12.0" customHeight="1">
      <c r="A663" s="413"/>
      <c r="B663" s="413"/>
      <c r="C663" s="413"/>
      <c r="D663" s="414"/>
      <c r="E663" s="414"/>
      <c r="F663" s="414"/>
      <c r="G663" s="414"/>
      <c r="H663" s="413"/>
      <c r="I663" s="413"/>
      <c r="J663" s="413"/>
      <c r="K663" s="413"/>
      <c r="L663" s="413"/>
      <c r="M663" s="413"/>
      <c r="N663" s="413"/>
      <c r="O663" s="413"/>
      <c r="P663" s="413"/>
      <c r="Q663" s="413"/>
      <c r="R663" s="413"/>
      <c r="S663" s="413"/>
      <c r="T663" s="413"/>
      <c r="U663" s="413"/>
      <c r="V663" s="413"/>
      <c r="W663" s="413"/>
      <c r="X663" s="413"/>
      <c r="Y663" s="413"/>
      <c r="Z663" s="413"/>
    </row>
    <row r="664" ht="12.0" customHeight="1">
      <c r="A664" s="413"/>
      <c r="B664" s="413"/>
      <c r="C664" s="413"/>
      <c r="D664" s="414"/>
      <c r="E664" s="414"/>
      <c r="F664" s="414"/>
      <c r="G664" s="414"/>
      <c r="H664" s="413"/>
      <c r="I664" s="413"/>
      <c r="J664" s="413"/>
      <c r="K664" s="413"/>
      <c r="L664" s="413"/>
      <c r="M664" s="413"/>
      <c r="N664" s="413"/>
      <c r="O664" s="413"/>
      <c r="P664" s="413"/>
      <c r="Q664" s="413"/>
      <c r="R664" s="413"/>
      <c r="S664" s="413"/>
      <c r="T664" s="413"/>
      <c r="U664" s="413"/>
      <c r="V664" s="413"/>
      <c r="W664" s="413"/>
      <c r="X664" s="413"/>
      <c r="Y664" s="413"/>
      <c r="Z664" s="413"/>
    </row>
    <row r="665" ht="12.0" customHeight="1">
      <c r="A665" s="413"/>
      <c r="B665" s="413"/>
      <c r="C665" s="413"/>
      <c r="D665" s="414"/>
      <c r="E665" s="414"/>
      <c r="F665" s="414"/>
      <c r="G665" s="414"/>
      <c r="H665" s="413"/>
      <c r="I665" s="413"/>
      <c r="J665" s="413"/>
      <c r="K665" s="413"/>
      <c r="L665" s="413"/>
      <c r="M665" s="413"/>
      <c r="N665" s="413"/>
      <c r="O665" s="413"/>
      <c r="P665" s="413"/>
      <c r="Q665" s="413"/>
      <c r="R665" s="413"/>
      <c r="S665" s="413"/>
      <c r="T665" s="413"/>
      <c r="U665" s="413"/>
      <c r="V665" s="413"/>
      <c r="W665" s="413"/>
      <c r="X665" s="413"/>
      <c r="Y665" s="413"/>
      <c r="Z665" s="413"/>
    </row>
    <row r="666" ht="12.0" customHeight="1">
      <c r="A666" s="413"/>
      <c r="B666" s="413"/>
      <c r="C666" s="413"/>
      <c r="D666" s="414"/>
      <c r="E666" s="414"/>
      <c r="F666" s="414"/>
      <c r="G666" s="414"/>
      <c r="H666" s="413"/>
      <c r="I666" s="413"/>
      <c r="J666" s="413"/>
      <c r="K666" s="413"/>
      <c r="L666" s="413"/>
      <c r="M666" s="413"/>
      <c r="N666" s="413"/>
      <c r="O666" s="413"/>
      <c r="P666" s="413"/>
      <c r="Q666" s="413"/>
      <c r="R666" s="413"/>
      <c r="S666" s="413"/>
      <c r="T666" s="413"/>
      <c r="U666" s="413"/>
      <c r="V666" s="413"/>
      <c r="W666" s="413"/>
      <c r="X666" s="413"/>
      <c r="Y666" s="413"/>
      <c r="Z666" s="413"/>
    </row>
    <row r="667" ht="12.0" customHeight="1">
      <c r="A667" s="413"/>
      <c r="B667" s="413"/>
      <c r="C667" s="413"/>
      <c r="D667" s="414"/>
      <c r="E667" s="414"/>
      <c r="F667" s="414"/>
      <c r="G667" s="414"/>
      <c r="H667" s="413"/>
      <c r="I667" s="413"/>
      <c r="J667" s="413"/>
      <c r="K667" s="413"/>
      <c r="L667" s="413"/>
      <c r="M667" s="413"/>
      <c r="N667" s="413"/>
      <c r="O667" s="413"/>
      <c r="P667" s="413"/>
      <c r="Q667" s="413"/>
      <c r="R667" s="413"/>
      <c r="S667" s="413"/>
      <c r="T667" s="413"/>
      <c r="U667" s="413"/>
      <c r="V667" s="413"/>
      <c r="W667" s="413"/>
      <c r="X667" s="413"/>
      <c r="Y667" s="413"/>
      <c r="Z667" s="413"/>
    </row>
    <row r="668" ht="12.0" customHeight="1">
      <c r="A668" s="413"/>
      <c r="B668" s="413"/>
      <c r="C668" s="413"/>
      <c r="D668" s="414"/>
      <c r="E668" s="414"/>
      <c r="F668" s="414"/>
      <c r="G668" s="414"/>
      <c r="H668" s="413"/>
      <c r="I668" s="413"/>
      <c r="J668" s="413"/>
      <c r="K668" s="413"/>
      <c r="L668" s="413"/>
      <c r="M668" s="413"/>
      <c r="N668" s="413"/>
      <c r="O668" s="413"/>
      <c r="P668" s="413"/>
      <c r="Q668" s="413"/>
      <c r="R668" s="413"/>
      <c r="S668" s="413"/>
      <c r="T668" s="413"/>
      <c r="U668" s="413"/>
      <c r="V668" s="413"/>
      <c r="W668" s="413"/>
      <c r="X668" s="413"/>
      <c r="Y668" s="413"/>
      <c r="Z668" s="413"/>
    </row>
    <row r="669" ht="12.0" customHeight="1">
      <c r="A669" s="413"/>
      <c r="B669" s="413"/>
      <c r="C669" s="413"/>
      <c r="D669" s="414"/>
      <c r="E669" s="414"/>
      <c r="F669" s="414"/>
      <c r="G669" s="414"/>
      <c r="H669" s="413"/>
      <c r="I669" s="413"/>
      <c r="J669" s="413"/>
      <c r="K669" s="413"/>
      <c r="L669" s="413"/>
      <c r="M669" s="413"/>
      <c r="N669" s="413"/>
      <c r="O669" s="413"/>
      <c r="P669" s="413"/>
      <c r="Q669" s="413"/>
      <c r="R669" s="413"/>
      <c r="S669" s="413"/>
      <c r="T669" s="413"/>
      <c r="U669" s="413"/>
      <c r="V669" s="413"/>
      <c r="W669" s="413"/>
      <c r="X669" s="413"/>
      <c r="Y669" s="413"/>
      <c r="Z669" s="413"/>
    </row>
    <row r="670" ht="12.0" customHeight="1">
      <c r="A670" s="413"/>
      <c r="B670" s="413"/>
      <c r="C670" s="413"/>
      <c r="D670" s="414"/>
      <c r="E670" s="414"/>
      <c r="F670" s="414"/>
      <c r="G670" s="414"/>
      <c r="H670" s="413"/>
      <c r="I670" s="413"/>
      <c r="J670" s="413"/>
      <c r="K670" s="413"/>
      <c r="L670" s="413"/>
      <c r="M670" s="413"/>
      <c r="N670" s="413"/>
      <c r="O670" s="413"/>
      <c r="P670" s="413"/>
      <c r="Q670" s="413"/>
      <c r="R670" s="413"/>
      <c r="S670" s="413"/>
      <c r="T670" s="413"/>
      <c r="U670" s="413"/>
      <c r="V670" s="413"/>
      <c r="W670" s="413"/>
      <c r="X670" s="413"/>
      <c r="Y670" s="413"/>
      <c r="Z670" s="413"/>
    </row>
    <row r="671" ht="12.0" customHeight="1">
      <c r="A671" s="413"/>
      <c r="B671" s="413"/>
      <c r="C671" s="413"/>
      <c r="D671" s="414"/>
      <c r="E671" s="414"/>
      <c r="F671" s="414"/>
      <c r="G671" s="414"/>
      <c r="H671" s="413"/>
      <c r="I671" s="413"/>
      <c r="J671" s="413"/>
      <c r="K671" s="413"/>
      <c r="L671" s="413"/>
      <c r="M671" s="413"/>
      <c r="N671" s="413"/>
      <c r="O671" s="413"/>
      <c r="P671" s="413"/>
      <c r="Q671" s="413"/>
      <c r="R671" s="413"/>
      <c r="S671" s="413"/>
      <c r="T671" s="413"/>
      <c r="U671" s="413"/>
      <c r="V671" s="413"/>
      <c r="W671" s="413"/>
      <c r="X671" s="413"/>
      <c r="Y671" s="413"/>
      <c r="Z671" s="413"/>
    </row>
    <row r="672" ht="12.0" customHeight="1">
      <c r="A672" s="413"/>
      <c r="B672" s="413"/>
      <c r="C672" s="413"/>
      <c r="D672" s="414"/>
      <c r="E672" s="414"/>
      <c r="F672" s="414"/>
      <c r="G672" s="414"/>
      <c r="H672" s="413"/>
      <c r="I672" s="413"/>
      <c r="J672" s="413"/>
      <c r="K672" s="413"/>
      <c r="L672" s="413"/>
      <c r="M672" s="413"/>
      <c r="N672" s="413"/>
      <c r="O672" s="413"/>
      <c r="P672" s="413"/>
      <c r="Q672" s="413"/>
      <c r="R672" s="413"/>
      <c r="S672" s="413"/>
      <c r="T672" s="413"/>
      <c r="U672" s="413"/>
      <c r="V672" s="413"/>
      <c r="W672" s="413"/>
      <c r="X672" s="413"/>
      <c r="Y672" s="413"/>
      <c r="Z672" s="413"/>
    </row>
    <row r="673" ht="12.0" customHeight="1">
      <c r="A673" s="413"/>
      <c r="B673" s="413"/>
      <c r="C673" s="413"/>
      <c r="D673" s="414"/>
      <c r="E673" s="414"/>
      <c r="F673" s="414"/>
      <c r="G673" s="414"/>
      <c r="H673" s="413"/>
      <c r="I673" s="413"/>
      <c r="J673" s="413"/>
      <c r="K673" s="413"/>
      <c r="L673" s="413"/>
      <c r="M673" s="413"/>
      <c r="N673" s="413"/>
      <c r="O673" s="413"/>
      <c r="P673" s="413"/>
      <c r="Q673" s="413"/>
      <c r="R673" s="413"/>
      <c r="S673" s="413"/>
      <c r="T673" s="413"/>
      <c r="U673" s="413"/>
      <c r="V673" s="413"/>
      <c r="W673" s="413"/>
      <c r="X673" s="413"/>
      <c r="Y673" s="413"/>
      <c r="Z673" s="413"/>
    </row>
    <row r="674" ht="12.0" customHeight="1">
      <c r="A674" s="413"/>
      <c r="B674" s="413"/>
      <c r="C674" s="413"/>
      <c r="D674" s="414"/>
      <c r="E674" s="414"/>
      <c r="F674" s="414"/>
      <c r="G674" s="414"/>
      <c r="H674" s="413"/>
      <c r="I674" s="413"/>
      <c r="J674" s="413"/>
      <c r="K674" s="413"/>
      <c r="L674" s="413"/>
      <c r="M674" s="413"/>
      <c r="N674" s="413"/>
      <c r="O674" s="413"/>
      <c r="P674" s="413"/>
      <c r="Q674" s="413"/>
      <c r="R674" s="413"/>
      <c r="S674" s="413"/>
      <c r="T674" s="413"/>
      <c r="U674" s="413"/>
      <c r="V674" s="413"/>
      <c r="W674" s="413"/>
      <c r="X674" s="413"/>
      <c r="Y674" s="413"/>
      <c r="Z674" s="413"/>
    </row>
    <row r="675" ht="12.0" customHeight="1">
      <c r="A675" s="413"/>
      <c r="B675" s="413"/>
      <c r="C675" s="413"/>
      <c r="D675" s="414"/>
      <c r="E675" s="414"/>
      <c r="F675" s="414"/>
      <c r="G675" s="414"/>
      <c r="H675" s="413"/>
      <c r="I675" s="413"/>
      <c r="J675" s="413"/>
      <c r="K675" s="413"/>
      <c r="L675" s="413"/>
      <c r="M675" s="413"/>
      <c r="N675" s="413"/>
      <c r="O675" s="413"/>
      <c r="P675" s="413"/>
      <c r="Q675" s="413"/>
      <c r="R675" s="413"/>
      <c r="S675" s="413"/>
      <c r="T675" s="413"/>
      <c r="U675" s="413"/>
      <c r="V675" s="413"/>
      <c r="W675" s="413"/>
      <c r="X675" s="413"/>
      <c r="Y675" s="413"/>
      <c r="Z675" s="413"/>
    </row>
    <row r="676" ht="12.0" customHeight="1">
      <c r="A676" s="413"/>
      <c r="B676" s="413"/>
      <c r="C676" s="413"/>
      <c r="D676" s="414"/>
      <c r="E676" s="414"/>
      <c r="F676" s="414"/>
      <c r="G676" s="414"/>
      <c r="H676" s="413"/>
      <c r="I676" s="413"/>
      <c r="J676" s="413"/>
      <c r="K676" s="413"/>
      <c r="L676" s="413"/>
      <c r="M676" s="413"/>
      <c r="N676" s="413"/>
      <c r="O676" s="413"/>
      <c r="P676" s="413"/>
      <c r="Q676" s="413"/>
      <c r="R676" s="413"/>
      <c r="S676" s="413"/>
      <c r="T676" s="413"/>
      <c r="U676" s="413"/>
      <c r="V676" s="413"/>
      <c r="W676" s="413"/>
      <c r="X676" s="413"/>
      <c r="Y676" s="413"/>
      <c r="Z676" s="413"/>
    </row>
    <row r="677" ht="12.0" customHeight="1">
      <c r="A677" s="413"/>
      <c r="B677" s="413"/>
      <c r="C677" s="413"/>
      <c r="D677" s="414"/>
      <c r="E677" s="414"/>
      <c r="F677" s="414"/>
      <c r="G677" s="414"/>
      <c r="H677" s="413"/>
      <c r="I677" s="413"/>
      <c r="J677" s="413"/>
      <c r="K677" s="413"/>
      <c r="L677" s="413"/>
      <c r="M677" s="413"/>
      <c r="N677" s="413"/>
      <c r="O677" s="413"/>
      <c r="P677" s="413"/>
      <c r="Q677" s="413"/>
      <c r="R677" s="413"/>
      <c r="S677" s="413"/>
      <c r="T677" s="413"/>
      <c r="U677" s="413"/>
      <c r="V677" s="413"/>
      <c r="W677" s="413"/>
      <c r="X677" s="413"/>
      <c r="Y677" s="413"/>
      <c r="Z677" s="413"/>
    </row>
    <row r="678" ht="12.0" customHeight="1">
      <c r="A678" s="413"/>
      <c r="B678" s="413"/>
      <c r="C678" s="413"/>
      <c r="D678" s="414"/>
      <c r="E678" s="414"/>
      <c r="F678" s="414"/>
      <c r="G678" s="414"/>
      <c r="H678" s="413"/>
      <c r="I678" s="413"/>
      <c r="J678" s="413"/>
      <c r="K678" s="413"/>
      <c r="L678" s="413"/>
      <c r="M678" s="413"/>
      <c r="N678" s="413"/>
      <c r="O678" s="413"/>
      <c r="P678" s="413"/>
      <c r="Q678" s="413"/>
      <c r="R678" s="413"/>
      <c r="S678" s="413"/>
      <c r="T678" s="413"/>
      <c r="U678" s="413"/>
      <c r="V678" s="413"/>
      <c r="W678" s="413"/>
      <c r="X678" s="413"/>
      <c r="Y678" s="413"/>
      <c r="Z678" s="413"/>
    </row>
    <row r="679" ht="12.0" customHeight="1">
      <c r="A679" s="413"/>
      <c r="B679" s="413"/>
      <c r="C679" s="413"/>
      <c r="D679" s="414"/>
      <c r="E679" s="414"/>
      <c r="F679" s="414"/>
      <c r="G679" s="414"/>
      <c r="H679" s="413"/>
      <c r="I679" s="413"/>
      <c r="J679" s="413"/>
      <c r="K679" s="413"/>
      <c r="L679" s="413"/>
      <c r="M679" s="413"/>
      <c r="N679" s="413"/>
      <c r="O679" s="413"/>
      <c r="P679" s="413"/>
      <c r="Q679" s="413"/>
      <c r="R679" s="413"/>
      <c r="S679" s="413"/>
      <c r="T679" s="413"/>
      <c r="U679" s="413"/>
      <c r="V679" s="413"/>
      <c r="W679" s="413"/>
      <c r="X679" s="413"/>
      <c r="Y679" s="413"/>
      <c r="Z679" s="413"/>
    </row>
    <row r="680" ht="12.0" customHeight="1">
      <c r="A680" s="413"/>
      <c r="B680" s="413"/>
      <c r="C680" s="413"/>
      <c r="D680" s="414"/>
      <c r="E680" s="414"/>
      <c r="F680" s="414"/>
      <c r="G680" s="414"/>
      <c r="H680" s="413"/>
      <c r="I680" s="413"/>
      <c r="J680" s="413"/>
      <c r="K680" s="413"/>
      <c r="L680" s="413"/>
      <c r="M680" s="413"/>
      <c r="N680" s="413"/>
      <c r="O680" s="413"/>
      <c r="P680" s="413"/>
      <c r="Q680" s="413"/>
      <c r="R680" s="413"/>
      <c r="S680" s="413"/>
      <c r="T680" s="413"/>
      <c r="U680" s="413"/>
      <c r="V680" s="413"/>
      <c r="W680" s="413"/>
      <c r="X680" s="413"/>
      <c r="Y680" s="413"/>
      <c r="Z680" s="413"/>
    </row>
    <row r="681" ht="12.0" customHeight="1">
      <c r="A681" s="413"/>
      <c r="B681" s="413"/>
      <c r="C681" s="413"/>
      <c r="D681" s="414"/>
      <c r="E681" s="414"/>
      <c r="F681" s="414"/>
      <c r="G681" s="414"/>
      <c r="H681" s="413"/>
      <c r="I681" s="413"/>
      <c r="J681" s="413"/>
      <c r="K681" s="413"/>
      <c r="L681" s="413"/>
      <c r="M681" s="413"/>
      <c r="N681" s="413"/>
      <c r="O681" s="413"/>
      <c r="P681" s="413"/>
      <c r="Q681" s="413"/>
      <c r="R681" s="413"/>
      <c r="S681" s="413"/>
      <c r="T681" s="413"/>
      <c r="U681" s="413"/>
      <c r="V681" s="413"/>
      <c r="W681" s="413"/>
      <c r="X681" s="413"/>
      <c r="Y681" s="413"/>
      <c r="Z681" s="413"/>
    </row>
    <row r="682" ht="12.0" customHeight="1">
      <c r="A682" s="413"/>
      <c r="B682" s="413"/>
      <c r="C682" s="413"/>
      <c r="D682" s="414"/>
      <c r="E682" s="414"/>
      <c r="F682" s="414"/>
      <c r="G682" s="414"/>
      <c r="H682" s="413"/>
      <c r="I682" s="413"/>
      <c r="J682" s="413"/>
      <c r="K682" s="413"/>
      <c r="L682" s="413"/>
      <c r="M682" s="413"/>
      <c r="N682" s="413"/>
      <c r="O682" s="413"/>
      <c r="P682" s="413"/>
      <c r="Q682" s="413"/>
      <c r="R682" s="413"/>
      <c r="S682" s="413"/>
      <c r="T682" s="413"/>
      <c r="U682" s="413"/>
      <c r="V682" s="413"/>
      <c r="W682" s="413"/>
      <c r="X682" s="413"/>
      <c r="Y682" s="413"/>
      <c r="Z682" s="413"/>
    </row>
    <row r="683" ht="12.0" customHeight="1">
      <c r="A683" s="413"/>
      <c r="B683" s="413"/>
      <c r="C683" s="413"/>
      <c r="D683" s="414"/>
      <c r="E683" s="414"/>
      <c r="F683" s="414"/>
      <c r="G683" s="414"/>
      <c r="H683" s="413"/>
      <c r="I683" s="413"/>
      <c r="J683" s="413"/>
      <c r="K683" s="413"/>
      <c r="L683" s="413"/>
      <c r="M683" s="413"/>
      <c r="N683" s="413"/>
      <c r="O683" s="413"/>
      <c r="P683" s="413"/>
      <c r="Q683" s="413"/>
      <c r="R683" s="413"/>
      <c r="S683" s="413"/>
      <c r="T683" s="413"/>
      <c r="U683" s="413"/>
      <c r="V683" s="413"/>
      <c r="W683" s="413"/>
      <c r="X683" s="413"/>
      <c r="Y683" s="413"/>
      <c r="Z683" s="413"/>
    </row>
    <row r="684" ht="12.0" customHeight="1">
      <c r="A684" s="413"/>
      <c r="B684" s="413"/>
      <c r="C684" s="413"/>
      <c r="D684" s="414"/>
      <c r="E684" s="414"/>
      <c r="F684" s="414"/>
      <c r="G684" s="414"/>
      <c r="H684" s="413"/>
      <c r="I684" s="413"/>
      <c r="J684" s="413"/>
      <c r="K684" s="413"/>
      <c r="L684" s="413"/>
      <c r="M684" s="413"/>
      <c r="N684" s="413"/>
      <c r="O684" s="413"/>
      <c r="P684" s="413"/>
      <c r="Q684" s="413"/>
      <c r="R684" s="413"/>
      <c r="S684" s="413"/>
      <c r="T684" s="413"/>
      <c r="U684" s="413"/>
      <c r="V684" s="413"/>
      <c r="W684" s="413"/>
      <c r="X684" s="413"/>
      <c r="Y684" s="413"/>
      <c r="Z684" s="413"/>
    </row>
    <row r="685" ht="12.0" customHeight="1">
      <c r="A685" s="413"/>
      <c r="B685" s="413"/>
      <c r="C685" s="413"/>
      <c r="D685" s="414"/>
      <c r="E685" s="414"/>
      <c r="F685" s="414"/>
      <c r="G685" s="414"/>
      <c r="H685" s="413"/>
      <c r="I685" s="413"/>
      <c r="J685" s="413"/>
      <c r="K685" s="413"/>
      <c r="L685" s="413"/>
      <c r="M685" s="413"/>
      <c r="N685" s="413"/>
      <c r="O685" s="413"/>
      <c r="P685" s="413"/>
      <c r="Q685" s="413"/>
      <c r="R685" s="413"/>
      <c r="S685" s="413"/>
      <c r="T685" s="413"/>
      <c r="U685" s="413"/>
      <c r="V685" s="413"/>
      <c r="W685" s="413"/>
      <c r="X685" s="413"/>
      <c r="Y685" s="413"/>
      <c r="Z685" s="413"/>
    </row>
    <row r="686" ht="12.0" customHeight="1">
      <c r="A686" s="413"/>
      <c r="B686" s="413"/>
      <c r="C686" s="413"/>
      <c r="D686" s="414"/>
      <c r="E686" s="414"/>
      <c r="F686" s="414"/>
      <c r="G686" s="414"/>
      <c r="H686" s="413"/>
      <c r="I686" s="413"/>
      <c r="J686" s="413"/>
      <c r="K686" s="413"/>
      <c r="L686" s="413"/>
      <c r="M686" s="413"/>
      <c r="N686" s="413"/>
      <c r="O686" s="413"/>
      <c r="P686" s="413"/>
      <c r="Q686" s="413"/>
      <c r="R686" s="413"/>
      <c r="S686" s="413"/>
      <c r="T686" s="413"/>
      <c r="U686" s="413"/>
      <c r="V686" s="413"/>
      <c r="W686" s="413"/>
      <c r="X686" s="413"/>
      <c r="Y686" s="413"/>
      <c r="Z686" s="413"/>
    </row>
    <row r="687" ht="12.0" customHeight="1">
      <c r="A687" s="413"/>
      <c r="B687" s="413"/>
      <c r="C687" s="413"/>
      <c r="D687" s="414"/>
      <c r="E687" s="414"/>
      <c r="F687" s="414"/>
      <c r="G687" s="414"/>
      <c r="H687" s="413"/>
      <c r="I687" s="413"/>
      <c r="J687" s="413"/>
      <c r="K687" s="413"/>
      <c r="L687" s="413"/>
      <c r="M687" s="413"/>
      <c r="N687" s="413"/>
      <c r="O687" s="413"/>
      <c r="P687" s="413"/>
      <c r="Q687" s="413"/>
      <c r="R687" s="413"/>
      <c r="S687" s="413"/>
      <c r="T687" s="413"/>
      <c r="U687" s="413"/>
      <c r="V687" s="413"/>
      <c r="W687" s="413"/>
      <c r="X687" s="413"/>
      <c r="Y687" s="413"/>
      <c r="Z687" s="413"/>
    </row>
    <row r="688" ht="12.0" customHeight="1">
      <c r="A688" s="413"/>
      <c r="B688" s="413"/>
      <c r="C688" s="413"/>
      <c r="D688" s="414"/>
      <c r="E688" s="414"/>
      <c r="F688" s="414"/>
      <c r="G688" s="414"/>
      <c r="H688" s="413"/>
      <c r="I688" s="413"/>
      <c r="J688" s="413"/>
      <c r="K688" s="413"/>
      <c r="L688" s="413"/>
      <c r="M688" s="413"/>
      <c r="N688" s="413"/>
      <c r="O688" s="413"/>
      <c r="P688" s="413"/>
      <c r="Q688" s="413"/>
      <c r="R688" s="413"/>
      <c r="S688" s="413"/>
      <c r="T688" s="413"/>
      <c r="U688" s="413"/>
      <c r="V688" s="413"/>
      <c r="W688" s="413"/>
      <c r="X688" s="413"/>
      <c r="Y688" s="413"/>
      <c r="Z688" s="413"/>
    </row>
    <row r="689" ht="12.0" customHeight="1">
      <c r="A689" s="413"/>
      <c r="B689" s="413"/>
      <c r="C689" s="413"/>
      <c r="D689" s="414"/>
      <c r="E689" s="414"/>
      <c r="F689" s="414"/>
      <c r="G689" s="414"/>
      <c r="H689" s="413"/>
      <c r="I689" s="413"/>
      <c r="J689" s="413"/>
      <c r="K689" s="413"/>
      <c r="L689" s="413"/>
      <c r="M689" s="413"/>
      <c r="N689" s="413"/>
      <c r="O689" s="413"/>
      <c r="P689" s="413"/>
      <c r="Q689" s="413"/>
      <c r="R689" s="413"/>
      <c r="S689" s="413"/>
      <c r="T689" s="413"/>
      <c r="U689" s="413"/>
      <c r="V689" s="413"/>
      <c r="W689" s="413"/>
      <c r="X689" s="413"/>
      <c r="Y689" s="413"/>
      <c r="Z689" s="413"/>
    </row>
    <row r="690" ht="12.0" customHeight="1">
      <c r="A690" s="413"/>
      <c r="B690" s="413"/>
      <c r="C690" s="413"/>
      <c r="D690" s="414"/>
      <c r="E690" s="414"/>
      <c r="F690" s="414"/>
      <c r="G690" s="414"/>
      <c r="H690" s="413"/>
      <c r="I690" s="413"/>
      <c r="J690" s="413"/>
      <c r="K690" s="413"/>
      <c r="L690" s="413"/>
      <c r="M690" s="413"/>
      <c r="N690" s="413"/>
      <c r="O690" s="413"/>
      <c r="P690" s="413"/>
      <c r="Q690" s="413"/>
      <c r="R690" s="413"/>
      <c r="S690" s="413"/>
      <c r="T690" s="413"/>
      <c r="U690" s="413"/>
      <c r="V690" s="413"/>
      <c r="W690" s="413"/>
      <c r="X690" s="413"/>
      <c r="Y690" s="413"/>
      <c r="Z690" s="413"/>
    </row>
    <row r="691" ht="12.0" customHeight="1">
      <c r="A691" s="413"/>
      <c r="B691" s="413"/>
      <c r="C691" s="413"/>
      <c r="D691" s="414"/>
      <c r="E691" s="414"/>
      <c r="F691" s="414"/>
      <c r="G691" s="414"/>
      <c r="H691" s="413"/>
      <c r="I691" s="413"/>
      <c r="J691" s="413"/>
      <c r="K691" s="413"/>
      <c r="L691" s="413"/>
      <c r="M691" s="413"/>
      <c r="N691" s="413"/>
      <c r="O691" s="413"/>
      <c r="P691" s="413"/>
      <c r="Q691" s="413"/>
      <c r="R691" s="413"/>
      <c r="S691" s="413"/>
      <c r="T691" s="413"/>
      <c r="U691" s="413"/>
      <c r="V691" s="413"/>
      <c r="W691" s="413"/>
      <c r="X691" s="413"/>
      <c r="Y691" s="413"/>
      <c r="Z691" s="413"/>
    </row>
    <row r="692" ht="12.0" customHeight="1">
      <c r="A692" s="413"/>
      <c r="B692" s="413"/>
      <c r="C692" s="413"/>
      <c r="D692" s="414"/>
      <c r="E692" s="414"/>
      <c r="F692" s="414"/>
      <c r="G692" s="414"/>
      <c r="H692" s="413"/>
      <c r="I692" s="413"/>
      <c r="J692" s="413"/>
      <c r="K692" s="413"/>
      <c r="L692" s="413"/>
      <c r="M692" s="413"/>
      <c r="N692" s="413"/>
      <c r="O692" s="413"/>
      <c r="P692" s="413"/>
      <c r="Q692" s="413"/>
      <c r="R692" s="413"/>
      <c r="S692" s="413"/>
      <c r="T692" s="413"/>
      <c r="U692" s="413"/>
      <c r="V692" s="413"/>
      <c r="W692" s="413"/>
      <c r="X692" s="413"/>
      <c r="Y692" s="413"/>
      <c r="Z692" s="413"/>
    </row>
    <row r="693" ht="12.0" customHeight="1">
      <c r="A693" s="413"/>
      <c r="B693" s="413"/>
      <c r="C693" s="413"/>
      <c r="D693" s="414"/>
      <c r="E693" s="414"/>
      <c r="F693" s="414"/>
      <c r="G693" s="414"/>
      <c r="H693" s="413"/>
      <c r="I693" s="413"/>
      <c r="J693" s="413"/>
      <c r="K693" s="413"/>
      <c r="L693" s="413"/>
      <c r="M693" s="413"/>
      <c r="N693" s="413"/>
      <c r="O693" s="413"/>
      <c r="P693" s="413"/>
      <c r="Q693" s="413"/>
      <c r="R693" s="413"/>
      <c r="S693" s="413"/>
      <c r="T693" s="413"/>
      <c r="U693" s="413"/>
      <c r="V693" s="413"/>
      <c r="W693" s="413"/>
      <c r="X693" s="413"/>
      <c r="Y693" s="413"/>
      <c r="Z693" s="413"/>
    </row>
    <row r="694" ht="12.0" customHeight="1">
      <c r="A694" s="413"/>
      <c r="B694" s="413"/>
      <c r="C694" s="413"/>
      <c r="D694" s="414"/>
      <c r="E694" s="414"/>
      <c r="F694" s="414"/>
      <c r="G694" s="414"/>
      <c r="H694" s="413"/>
      <c r="I694" s="413"/>
      <c r="J694" s="413"/>
      <c r="K694" s="413"/>
      <c r="L694" s="413"/>
      <c r="M694" s="413"/>
      <c r="N694" s="413"/>
      <c r="O694" s="413"/>
      <c r="P694" s="413"/>
      <c r="Q694" s="413"/>
      <c r="R694" s="413"/>
      <c r="S694" s="413"/>
      <c r="T694" s="413"/>
      <c r="U694" s="413"/>
      <c r="V694" s="413"/>
      <c r="W694" s="413"/>
      <c r="X694" s="413"/>
      <c r="Y694" s="413"/>
      <c r="Z694" s="413"/>
    </row>
    <row r="695" ht="12.0" customHeight="1">
      <c r="A695" s="413"/>
      <c r="B695" s="413"/>
      <c r="C695" s="413"/>
      <c r="D695" s="414"/>
      <c r="E695" s="414"/>
      <c r="F695" s="414"/>
      <c r="G695" s="414"/>
      <c r="H695" s="413"/>
      <c r="I695" s="413"/>
      <c r="J695" s="413"/>
      <c r="K695" s="413"/>
      <c r="L695" s="413"/>
      <c r="M695" s="413"/>
      <c r="N695" s="413"/>
      <c r="O695" s="413"/>
      <c r="P695" s="413"/>
      <c r="Q695" s="413"/>
      <c r="R695" s="413"/>
      <c r="S695" s="413"/>
      <c r="T695" s="413"/>
      <c r="U695" s="413"/>
      <c r="V695" s="413"/>
      <c r="W695" s="413"/>
      <c r="X695" s="413"/>
      <c r="Y695" s="413"/>
      <c r="Z695" s="413"/>
    </row>
    <row r="696" ht="12.0" customHeight="1">
      <c r="A696" s="413"/>
      <c r="B696" s="413"/>
      <c r="C696" s="413"/>
      <c r="D696" s="414"/>
      <c r="E696" s="414"/>
      <c r="F696" s="414"/>
      <c r="G696" s="414"/>
      <c r="H696" s="413"/>
      <c r="I696" s="413"/>
      <c r="J696" s="413"/>
      <c r="K696" s="413"/>
      <c r="L696" s="413"/>
      <c r="M696" s="413"/>
      <c r="N696" s="413"/>
      <c r="O696" s="413"/>
      <c r="P696" s="413"/>
      <c r="Q696" s="413"/>
      <c r="R696" s="413"/>
      <c r="S696" s="413"/>
      <c r="T696" s="413"/>
      <c r="U696" s="413"/>
      <c r="V696" s="413"/>
      <c r="W696" s="413"/>
      <c r="X696" s="413"/>
      <c r="Y696" s="413"/>
      <c r="Z696" s="413"/>
    </row>
    <row r="697" ht="12.0" customHeight="1">
      <c r="A697" s="413"/>
      <c r="B697" s="413"/>
      <c r="C697" s="413"/>
      <c r="D697" s="414"/>
      <c r="E697" s="414"/>
      <c r="F697" s="414"/>
      <c r="G697" s="414"/>
      <c r="H697" s="413"/>
      <c r="I697" s="413"/>
      <c r="J697" s="413"/>
      <c r="K697" s="413"/>
      <c r="L697" s="413"/>
      <c r="M697" s="413"/>
      <c r="N697" s="413"/>
      <c r="O697" s="413"/>
      <c r="P697" s="413"/>
      <c r="Q697" s="413"/>
      <c r="R697" s="413"/>
      <c r="S697" s="413"/>
      <c r="T697" s="413"/>
      <c r="U697" s="413"/>
      <c r="V697" s="413"/>
      <c r="W697" s="413"/>
      <c r="X697" s="413"/>
      <c r="Y697" s="413"/>
      <c r="Z697" s="413"/>
    </row>
    <row r="698" ht="12.0" customHeight="1">
      <c r="A698" s="413"/>
      <c r="B698" s="413"/>
      <c r="C698" s="413"/>
      <c r="D698" s="414"/>
      <c r="E698" s="414"/>
      <c r="F698" s="414"/>
      <c r="G698" s="414"/>
      <c r="H698" s="413"/>
      <c r="I698" s="413"/>
      <c r="J698" s="413"/>
      <c r="K698" s="413"/>
      <c r="L698" s="413"/>
      <c r="M698" s="413"/>
      <c r="N698" s="413"/>
      <c r="O698" s="413"/>
      <c r="P698" s="413"/>
      <c r="Q698" s="413"/>
      <c r="R698" s="413"/>
      <c r="S698" s="413"/>
      <c r="T698" s="413"/>
      <c r="U698" s="413"/>
      <c r="V698" s="413"/>
      <c r="W698" s="413"/>
      <c r="X698" s="413"/>
      <c r="Y698" s="413"/>
      <c r="Z698" s="413"/>
    </row>
    <row r="699" ht="12.0" customHeight="1">
      <c r="A699" s="413"/>
      <c r="B699" s="413"/>
      <c r="C699" s="413"/>
      <c r="D699" s="414"/>
      <c r="E699" s="414"/>
      <c r="F699" s="414"/>
      <c r="G699" s="414"/>
      <c r="H699" s="413"/>
      <c r="I699" s="413"/>
      <c r="J699" s="413"/>
      <c r="K699" s="413"/>
      <c r="L699" s="413"/>
      <c r="M699" s="413"/>
      <c r="N699" s="413"/>
      <c r="O699" s="413"/>
      <c r="P699" s="413"/>
      <c r="Q699" s="413"/>
      <c r="R699" s="413"/>
      <c r="S699" s="413"/>
      <c r="T699" s="413"/>
      <c r="U699" s="413"/>
      <c r="V699" s="413"/>
      <c r="W699" s="413"/>
      <c r="X699" s="413"/>
      <c r="Y699" s="413"/>
      <c r="Z699" s="413"/>
    </row>
    <row r="700" ht="12.0" customHeight="1">
      <c r="A700" s="413"/>
      <c r="B700" s="413"/>
      <c r="C700" s="413"/>
      <c r="D700" s="414"/>
      <c r="E700" s="414"/>
      <c r="F700" s="414"/>
      <c r="G700" s="414"/>
      <c r="H700" s="413"/>
      <c r="I700" s="413"/>
      <c r="J700" s="413"/>
      <c r="K700" s="413"/>
      <c r="L700" s="413"/>
      <c r="M700" s="413"/>
      <c r="N700" s="413"/>
      <c r="O700" s="413"/>
      <c r="P700" s="413"/>
      <c r="Q700" s="413"/>
      <c r="R700" s="413"/>
      <c r="S700" s="413"/>
      <c r="T700" s="413"/>
      <c r="U700" s="413"/>
      <c r="V700" s="413"/>
      <c r="W700" s="413"/>
      <c r="X700" s="413"/>
      <c r="Y700" s="413"/>
      <c r="Z700" s="413"/>
    </row>
    <row r="701" ht="12.0" customHeight="1">
      <c r="A701" s="413"/>
      <c r="B701" s="413"/>
      <c r="C701" s="413"/>
      <c r="D701" s="414"/>
      <c r="E701" s="414"/>
      <c r="F701" s="414"/>
      <c r="G701" s="414"/>
      <c r="H701" s="413"/>
      <c r="I701" s="413"/>
      <c r="J701" s="413"/>
      <c r="K701" s="413"/>
      <c r="L701" s="413"/>
      <c r="M701" s="413"/>
      <c r="N701" s="413"/>
      <c r="O701" s="413"/>
      <c r="P701" s="413"/>
      <c r="Q701" s="413"/>
      <c r="R701" s="413"/>
      <c r="S701" s="413"/>
      <c r="T701" s="413"/>
      <c r="U701" s="413"/>
      <c r="V701" s="413"/>
      <c r="W701" s="413"/>
      <c r="X701" s="413"/>
      <c r="Y701" s="413"/>
      <c r="Z701" s="413"/>
    </row>
    <row r="702" ht="12.0" customHeight="1">
      <c r="A702" s="413"/>
      <c r="B702" s="413"/>
      <c r="C702" s="413"/>
      <c r="D702" s="414"/>
      <c r="E702" s="414"/>
      <c r="F702" s="414"/>
      <c r="G702" s="414"/>
      <c r="H702" s="413"/>
      <c r="I702" s="413"/>
      <c r="J702" s="413"/>
      <c r="K702" s="413"/>
      <c r="L702" s="413"/>
      <c r="M702" s="413"/>
      <c r="N702" s="413"/>
      <c r="O702" s="413"/>
      <c r="P702" s="413"/>
      <c r="Q702" s="413"/>
      <c r="R702" s="413"/>
      <c r="S702" s="413"/>
      <c r="T702" s="413"/>
      <c r="U702" s="413"/>
      <c r="V702" s="413"/>
      <c r="W702" s="413"/>
      <c r="X702" s="413"/>
      <c r="Y702" s="413"/>
      <c r="Z702" s="413"/>
    </row>
    <row r="703" ht="12.0" customHeight="1">
      <c r="A703" s="413"/>
      <c r="B703" s="413"/>
      <c r="C703" s="413"/>
      <c r="D703" s="414"/>
      <c r="E703" s="414"/>
      <c r="F703" s="414"/>
      <c r="G703" s="414"/>
      <c r="H703" s="413"/>
      <c r="I703" s="413"/>
      <c r="J703" s="413"/>
      <c r="K703" s="413"/>
      <c r="L703" s="413"/>
      <c r="M703" s="413"/>
      <c r="N703" s="413"/>
      <c r="O703" s="413"/>
      <c r="P703" s="413"/>
      <c r="Q703" s="413"/>
      <c r="R703" s="413"/>
      <c r="S703" s="413"/>
      <c r="T703" s="413"/>
      <c r="U703" s="413"/>
      <c r="V703" s="413"/>
      <c r="W703" s="413"/>
      <c r="X703" s="413"/>
      <c r="Y703" s="413"/>
      <c r="Z703" s="413"/>
    </row>
    <row r="704" ht="12.0" customHeight="1">
      <c r="A704" s="413"/>
      <c r="B704" s="413"/>
      <c r="C704" s="413"/>
      <c r="D704" s="414"/>
      <c r="E704" s="414"/>
      <c r="F704" s="414"/>
      <c r="G704" s="414"/>
      <c r="H704" s="413"/>
      <c r="I704" s="413"/>
      <c r="J704" s="413"/>
      <c r="K704" s="413"/>
      <c r="L704" s="413"/>
      <c r="M704" s="413"/>
      <c r="N704" s="413"/>
      <c r="O704" s="413"/>
      <c r="P704" s="413"/>
      <c r="Q704" s="413"/>
      <c r="R704" s="413"/>
      <c r="S704" s="413"/>
      <c r="T704" s="413"/>
      <c r="U704" s="413"/>
      <c r="V704" s="413"/>
      <c r="W704" s="413"/>
      <c r="X704" s="413"/>
      <c r="Y704" s="413"/>
      <c r="Z704" s="413"/>
    </row>
    <row r="705" ht="12.0" customHeight="1">
      <c r="A705" s="413"/>
      <c r="B705" s="413"/>
      <c r="C705" s="413"/>
      <c r="D705" s="414"/>
      <c r="E705" s="414"/>
      <c r="F705" s="414"/>
      <c r="G705" s="414"/>
      <c r="H705" s="413"/>
      <c r="I705" s="413"/>
      <c r="J705" s="413"/>
      <c r="K705" s="413"/>
      <c r="L705" s="413"/>
      <c r="M705" s="413"/>
      <c r="N705" s="413"/>
      <c r="O705" s="413"/>
      <c r="P705" s="413"/>
      <c r="Q705" s="413"/>
      <c r="R705" s="413"/>
      <c r="S705" s="413"/>
      <c r="T705" s="413"/>
      <c r="U705" s="413"/>
      <c r="V705" s="413"/>
      <c r="W705" s="413"/>
      <c r="X705" s="413"/>
      <c r="Y705" s="413"/>
      <c r="Z705" s="413"/>
    </row>
    <row r="706" ht="12.0" customHeight="1">
      <c r="A706" s="413"/>
      <c r="B706" s="413"/>
      <c r="C706" s="413"/>
      <c r="D706" s="414"/>
      <c r="E706" s="414"/>
      <c r="F706" s="414"/>
      <c r="G706" s="414"/>
      <c r="H706" s="413"/>
      <c r="I706" s="413"/>
      <c r="J706" s="413"/>
      <c r="K706" s="413"/>
      <c r="L706" s="413"/>
      <c r="M706" s="413"/>
      <c r="N706" s="413"/>
      <c r="O706" s="413"/>
      <c r="P706" s="413"/>
      <c r="Q706" s="413"/>
      <c r="R706" s="413"/>
      <c r="S706" s="413"/>
      <c r="T706" s="413"/>
      <c r="U706" s="413"/>
      <c r="V706" s="413"/>
      <c r="W706" s="413"/>
      <c r="X706" s="413"/>
      <c r="Y706" s="413"/>
      <c r="Z706" s="413"/>
    </row>
    <row r="707" ht="12.0" customHeight="1">
      <c r="A707" s="413"/>
      <c r="B707" s="413"/>
      <c r="C707" s="413"/>
      <c r="D707" s="414"/>
      <c r="E707" s="414"/>
      <c r="F707" s="414"/>
      <c r="G707" s="414"/>
      <c r="H707" s="413"/>
      <c r="I707" s="413"/>
      <c r="J707" s="413"/>
      <c r="K707" s="413"/>
      <c r="L707" s="413"/>
      <c r="M707" s="413"/>
      <c r="N707" s="413"/>
      <c r="O707" s="413"/>
      <c r="P707" s="413"/>
      <c r="Q707" s="413"/>
      <c r="R707" s="413"/>
      <c r="S707" s="413"/>
      <c r="T707" s="413"/>
      <c r="U707" s="413"/>
      <c r="V707" s="413"/>
      <c r="W707" s="413"/>
      <c r="X707" s="413"/>
      <c r="Y707" s="413"/>
      <c r="Z707" s="413"/>
    </row>
    <row r="708" ht="12.0" customHeight="1">
      <c r="A708" s="413"/>
      <c r="B708" s="413"/>
      <c r="C708" s="413"/>
      <c r="D708" s="414"/>
      <c r="E708" s="414"/>
      <c r="F708" s="414"/>
      <c r="G708" s="414"/>
      <c r="H708" s="413"/>
      <c r="I708" s="413"/>
      <c r="J708" s="413"/>
      <c r="K708" s="413"/>
      <c r="L708" s="413"/>
      <c r="M708" s="413"/>
      <c r="N708" s="413"/>
      <c r="O708" s="413"/>
      <c r="P708" s="413"/>
      <c r="Q708" s="413"/>
      <c r="R708" s="413"/>
      <c r="S708" s="413"/>
      <c r="T708" s="413"/>
      <c r="U708" s="413"/>
      <c r="V708" s="413"/>
      <c r="W708" s="413"/>
      <c r="X708" s="413"/>
      <c r="Y708" s="413"/>
      <c r="Z708" s="413"/>
    </row>
    <row r="709" ht="12.0" customHeight="1">
      <c r="A709" s="413"/>
      <c r="B709" s="413"/>
      <c r="C709" s="413"/>
      <c r="D709" s="414"/>
      <c r="E709" s="414"/>
      <c r="F709" s="414"/>
      <c r="G709" s="414"/>
      <c r="H709" s="413"/>
      <c r="I709" s="413"/>
      <c r="J709" s="413"/>
      <c r="K709" s="413"/>
      <c r="L709" s="413"/>
      <c r="M709" s="413"/>
      <c r="N709" s="413"/>
      <c r="O709" s="413"/>
      <c r="P709" s="413"/>
      <c r="Q709" s="413"/>
      <c r="R709" s="413"/>
      <c r="S709" s="413"/>
      <c r="T709" s="413"/>
      <c r="U709" s="413"/>
      <c r="V709" s="413"/>
      <c r="W709" s="413"/>
      <c r="X709" s="413"/>
      <c r="Y709" s="413"/>
      <c r="Z709" s="413"/>
    </row>
    <row r="710" ht="12.0" customHeight="1">
      <c r="A710" s="413"/>
      <c r="B710" s="413"/>
      <c r="C710" s="413"/>
      <c r="D710" s="414"/>
      <c r="E710" s="414"/>
      <c r="F710" s="414"/>
      <c r="G710" s="414"/>
      <c r="H710" s="413"/>
      <c r="I710" s="413"/>
      <c r="J710" s="413"/>
      <c r="K710" s="413"/>
      <c r="L710" s="413"/>
      <c r="M710" s="413"/>
      <c r="N710" s="413"/>
      <c r="O710" s="413"/>
      <c r="P710" s="413"/>
      <c r="Q710" s="413"/>
      <c r="R710" s="413"/>
      <c r="S710" s="413"/>
      <c r="T710" s="413"/>
      <c r="U710" s="413"/>
      <c r="V710" s="413"/>
      <c r="W710" s="413"/>
      <c r="X710" s="413"/>
      <c r="Y710" s="413"/>
      <c r="Z710" s="413"/>
    </row>
    <row r="711" ht="12.0" customHeight="1">
      <c r="A711" s="413"/>
      <c r="B711" s="413"/>
      <c r="C711" s="413"/>
      <c r="D711" s="414"/>
      <c r="E711" s="414"/>
      <c r="F711" s="414"/>
      <c r="G711" s="414"/>
      <c r="H711" s="413"/>
      <c r="I711" s="413"/>
      <c r="J711" s="413"/>
      <c r="K711" s="413"/>
      <c r="L711" s="413"/>
      <c r="M711" s="413"/>
      <c r="N711" s="413"/>
      <c r="O711" s="413"/>
      <c r="P711" s="413"/>
      <c r="Q711" s="413"/>
      <c r="R711" s="413"/>
      <c r="S711" s="413"/>
      <c r="T711" s="413"/>
      <c r="U711" s="413"/>
      <c r="V711" s="413"/>
      <c r="W711" s="413"/>
      <c r="X711" s="413"/>
      <c r="Y711" s="413"/>
      <c r="Z711" s="413"/>
    </row>
    <row r="712" ht="12.0" customHeight="1">
      <c r="A712" s="413"/>
      <c r="B712" s="413"/>
      <c r="C712" s="413"/>
      <c r="D712" s="414"/>
      <c r="E712" s="414"/>
      <c r="F712" s="414"/>
      <c r="G712" s="414"/>
      <c r="H712" s="413"/>
      <c r="I712" s="413"/>
      <c r="J712" s="413"/>
      <c r="K712" s="413"/>
      <c r="L712" s="413"/>
      <c r="M712" s="413"/>
      <c r="N712" s="413"/>
      <c r="O712" s="413"/>
      <c r="P712" s="413"/>
      <c r="Q712" s="413"/>
      <c r="R712" s="413"/>
      <c r="S712" s="413"/>
      <c r="T712" s="413"/>
      <c r="U712" s="413"/>
      <c r="V712" s="413"/>
      <c r="W712" s="413"/>
      <c r="X712" s="413"/>
      <c r="Y712" s="413"/>
      <c r="Z712" s="413"/>
    </row>
    <row r="713" ht="12.0" customHeight="1">
      <c r="A713" s="413"/>
      <c r="B713" s="413"/>
      <c r="C713" s="413"/>
      <c r="D713" s="414"/>
      <c r="E713" s="414"/>
      <c r="F713" s="414"/>
      <c r="G713" s="414"/>
      <c r="H713" s="413"/>
      <c r="I713" s="413"/>
      <c r="J713" s="413"/>
      <c r="K713" s="413"/>
      <c r="L713" s="413"/>
      <c r="M713" s="413"/>
      <c r="N713" s="413"/>
      <c r="O713" s="413"/>
      <c r="P713" s="413"/>
      <c r="Q713" s="413"/>
      <c r="R713" s="413"/>
      <c r="S713" s="413"/>
      <c r="T713" s="413"/>
      <c r="U713" s="413"/>
      <c r="V713" s="413"/>
      <c r="W713" s="413"/>
      <c r="X713" s="413"/>
      <c r="Y713" s="413"/>
      <c r="Z713" s="413"/>
    </row>
    <row r="714" ht="12.0" customHeight="1">
      <c r="A714" s="413"/>
      <c r="B714" s="413"/>
      <c r="C714" s="413"/>
      <c r="D714" s="414"/>
      <c r="E714" s="414"/>
      <c r="F714" s="414"/>
      <c r="G714" s="414"/>
      <c r="H714" s="413"/>
      <c r="I714" s="413"/>
      <c r="J714" s="413"/>
      <c r="K714" s="413"/>
      <c r="L714" s="413"/>
      <c r="M714" s="413"/>
      <c r="N714" s="413"/>
      <c r="O714" s="413"/>
      <c r="P714" s="413"/>
      <c r="Q714" s="413"/>
      <c r="R714" s="413"/>
      <c r="S714" s="413"/>
      <c r="T714" s="413"/>
      <c r="U714" s="413"/>
      <c r="V714" s="413"/>
      <c r="W714" s="413"/>
      <c r="X714" s="413"/>
      <c r="Y714" s="413"/>
      <c r="Z714" s="413"/>
    </row>
    <row r="715" ht="12.0" customHeight="1">
      <c r="A715" s="413"/>
      <c r="B715" s="413"/>
      <c r="C715" s="413"/>
      <c r="D715" s="414"/>
      <c r="E715" s="414"/>
      <c r="F715" s="414"/>
      <c r="G715" s="414"/>
      <c r="H715" s="413"/>
      <c r="I715" s="413"/>
      <c r="J715" s="413"/>
      <c r="K715" s="413"/>
      <c r="L715" s="413"/>
      <c r="M715" s="413"/>
      <c r="N715" s="413"/>
      <c r="O715" s="413"/>
      <c r="P715" s="413"/>
      <c r="Q715" s="413"/>
      <c r="R715" s="413"/>
      <c r="S715" s="413"/>
      <c r="T715" s="413"/>
      <c r="U715" s="413"/>
      <c r="V715" s="413"/>
      <c r="W715" s="413"/>
      <c r="X715" s="413"/>
      <c r="Y715" s="413"/>
      <c r="Z715" s="413"/>
    </row>
    <row r="716" ht="12.0" customHeight="1">
      <c r="A716" s="413"/>
      <c r="B716" s="413"/>
      <c r="C716" s="413"/>
      <c r="D716" s="414"/>
      <c r="E716" s="414"/>
      <c r="F716" s="414"/>
      <c r="G716" s="414"/>
      <c r="H716" s="413"/>
      <c r="I716" s="413"/>
      <c r="J716" s="413"/>
      <c r="K716" s="413"/>
      <c r="L716" s="413"/>
      <c r="M716" s="413"/>
      <c r="N716" s="413"/>
      <c r="O716" s="413"/>
      <c r="P716" s="413"/>
      <c r="Q716" s="413"/>
      <c r="R716" s="413"/>
      <c r="S716" s="413"/>
      <c r="T716" s="413"/>
      <c r="U716" s="413"/>
      <c r="V716" s="413"/>
      <c r="W716" s="413"/>
      <c r="X716" s="413"/>
      <c r="Y716" s="413"/>
      <c r="Z716" s="413"/>
    </row>
    <row r="717" ht="12.0" customHeight="1">
      <c r="A717" s="413"/>
      <c r="B717" s="413"/>
      <c r="C717" s="413"/>
      <c r="D717" s="414"/>
      <c r="E717" s="414"/>
      <c r="F717" s="414"/>
      <c r="G717" s="414"/>
      <c r="H717" s="413"/>
      <c r="I717" s="413"/>
      <c r="J717" s="413"/>
      <c r="K717" s="413"/>
      <c r="L717" s="413"/>
      <c r="M717" s="413"/>
      <c r="N717" s="413"/>
      <c r="O717" s="413"/>
      <c r="P717" s="413"/>
      <c r="Q717" s="413"/>
      <c r="R717" s="413"/>
      <c r="S717" s="413"/>
      <c r="T717" s="413"/>
      <c r="U717" s="413"/>
      <c r="V717" s="413"/>
      <c r="W717" s="413"/>
      <c r="X717" s="413"/>
      <c r="Y717" s="413"/>
      <c r="Z717" s="413"/>
    </row>
    <row r="718" ht="12.0" customHeight="1">
      <c r="A718" s="413"/>
      <c r="B718" s="413"/>
      <c r="C718" s="413"/>
      <c r="D718" s="414"/>
      <c r="E718" s="414"/>
      <c r="F718" s="414"/>
      <c r="G718" s="414"/>
      <c r="H718" s="413"/>
      <c r="I718" s="413"/>
      <c r="J718" s="413"/>
      <c r="K718" s="413"/>
      <c r="L718" s="413"/>
      <c r="M718" s="413"/>
      <c r="N718" s="413"/>
      <c r="O718" s="413"/>
      <c r="P718" s="413"/>
      <c r="Q718" s="413"/>
      <c r="R718" s="413"/>
      <c r="S718" s="413"/>
      <c r="T718" s="413"/>
      <c r="U718" s="413"/>
      <c r="V718" s="413"/>
      <c r="W718" s="413"/>
      <c r="X718" s="413"/>
      <c r="Y718" s="413"/>
      <c r="Z718" s="413"/>
    </row>
    <row r="719" ht="12.0" customHeight="1">
      <c r="A719" s="413"/>
      <c r="B719" s="413"/>
      <c r="C719" s="413"/>
      <c r="D719" s="414"/>
      <c r="E719" s="414"/>
      <c r="F719" s="414"/>
      <c r="G719" s="414"/>
      <c r="H719" s="413"/>
      <c r="I719" s="413"/>
      <c r="J719" s="413"/>
      <c r="K719" s="413"/>
      <c r="L719" s="413"/>
      <c r="M719" s="413"/>
      <c r="N719" s="413"/>
      <c r="O719" s="413"/>
      <c r="P719" s="413"/>
      <c r="Q719" s="413"/>
      <c r="R719" s="413"/>
      <c r="S719" s="413"/>
      <c r="T719" s="413"/>
      <c r="U719" s="413"/>
      <c r="V719" s="413"/>
      <c r="W719" s="413"/>
      <c r="X719" s="413"/>
      <c r="Y719" s="413"/>
      <c r="Z719" s="413"/>
    </row>
    <row r="720" ht="12.0" customHeight="1">
      <c r="A720" s="413"/>
      <c r="B720" s="413"/>
      <c r="C720" s="413"/>
      <c r="D720" s="414"/>
      <c r="E720" s="414"/>
      <c r="F720" s="414"/>
      <c r="G720" s="414"/>
      <c r="H720" s="413"/>
      <c r="I720" s="413"/>
      <c r="J720" s="413"/>
      <c r="K720" s="413"/>
      <c r="L720" s="413"/>
      <c r="M720" s="413"/>
      <c r="N720" s="413"/>
      <c r="O720" s="413"/>
      <c r="P720" s="413"/>
      <c r="Q720" s="413"/>
      <c r="R720" s="413"/>
      <c r="S720" s="413"/>
      <c r="T720" s="413"/>
      <c r="U720" s="413"/>
      <c r="V720" s="413"/>
      <c r="W720" s="413"/>
      <c r="X720" s="413"/>
      <c r="Y720" s="413"/>
      <c r="Z720" s="413"/>
    </row>
    <row r="721" ht="12.0" customHeight="1">
      <c r="A721" s="413"/>
      <c r="B721" s="413"/>
      <c r="C721" s="413"/>
      <c r="D721" s="414"/>
      <c r="E721" s="414"/>
      <c r="F721" s="414"/>
      <c r="G721" s="414"/>
      <c r="H721" s="413"/>
      <c r="I721" s="413"/>
      <c r="J721" s="413"/>
      <c r="K721" s="413"/>
      <c r="L721" s="413"/>
      <c r="M721" s="413"/>
      <c r="N721" s="413"/>
      <c r="O721" s="413"/>
      <c r="P721" s="413"/>
      <c r="Q721" s="413"/>
      <c r="R721" s="413"/>
      <c r="S721" s="413"/>
      <c r="T721" s="413"/>
      <c r="U721" s="413"/>
      <c r="V721" s="413"/>
      <c r="W721" s="413"/>
      <c r="X721" s="413"/>
      <c r="Y721" s="413"/>
      <c r="Z721" s="413"/>
    </row>
    <row r="722" ht="12.0" customHeight="1">
      <c r="A722" s="413"/>
      <c r="B722" s="413"/>
      <c r="C722" s="413"/>
      <c r="D722" s="414"/>
      <c r="E722" s="414"/>
      <c r="F722" s="414"/>
      <c r="G722" s="414"/>
      <c r="H722" s="413"/>
      <c r="I722" s="413"/>
      <c r="J722" s="413"/>
      <c r="K722" s="413"/>
      <c r="L722" s="413"/>
      <c r="M722" s="413"/>
      <c r="N722" s="413"/>
      <c r="O722" s="413"/>
      <c r="P722" s="413"/>
      <c r="Q722" s="413"/>
      <c r="R722" s="413"/>
      <c r="S722" s="413"/>
      <c r="T722" s="413"/>
      <c r="U722" s="413"/>
      <c r="V722" s="413"/>
      <c r="W722" s="413"/>
      <c r="X722" s="413"/>
      <c r="Y722" s="413"/>
      <c r="Z722" s="413"/>
    </row>
    <row r="723" ht="12.0" customHeight="1">
      <c r="A723" s="413"/>
      <c r="B723" s="413"/>
      <c r="C723" s="413"/>
      <c r="D723" s="414"/>
      <c r="E723" s="414"/>
      <c r="F723" s="414"/>
      <c r="G723" s="414"/>
      <c r="H723" s="413"/>
      <c r="I723" s="413"/>
      <c r="J723" s="413"/>
      <c r="K723" s="413"/>
      <c r="L723" s="413"/>
      <c r="M723" s="413"/>
      <c r="N723" s="413"/>
      <c r="O723" s="413"/>
      <c r="P723" s="413"/>
      <c r="Q723" s="413"/>
      <c r="R723" s="413"/>
      <c r="S723" s="413"/>
      <c r="T723" s="413"/>
      <c r="U723" s="413"/>
      <c r="V723" s="413"/>
      <c r="W723" s="413"/>
      <c r="X723" s="413"/>
      <c r="Y723" s="413"/>
      <c r="Z723" s="413"/>
    </row>
    <row r="724" ht="12.0" customHeight="1">
      <c r="A724" s="413"/>
      <c r="B724" s="413"/>
      <c r="C724" s="413"/>
      <c r="D724" s="414"/>
      <c r="E724" s="414"/>
      <c r="F724" s="414"/>
      <c r="G724" s="414"/>
      <c r="H724" s="413"/>
      <c r="I724" s="413"/>
      <c r="J724" s="413"/>
      <c r="K724" s="413"/>
      <c r="L724" s="413"/>
      <c r="M724" s="413"/>
      <c r="N724" s="413"/>
      <c r="O724" s="413"/>
      <c r="P724" s="413"/>
      <c r="Q724" s="413"/>
      <c r="R724" s="413"/>
      <c r="S724" s="413"/>
      <c r="T724" s="413"/>
      <c r="U724" s="413"/>
      <c r="V724" s="413"/>
      <c r="W724" s="413"/>
      <c r="X724" s="413"/>
      <c r="Y724" s="413"/>
      <c r="Z724" s="413"/>
    </row>
    <row r="725" ht="12.0" customHeight="1">
      <c r="A725" s="413"/>
      <c r="B725" s="413"/>
      <c r="C725" s="413"/>
      <c r="D725" s="414"/>
      <c r="E725" s="414"/>
      <c r="F725" s="414"/>
      <c r="G725" s="414"/>
      <c r="H725" s="413"/>
      <c r="I725" s="413"/>
      <c r="J725" s="413"/>
      <c r="K725" s="413"/>
      <c r="L725" s="413"/>
      <c r="M725" s="413"/>
      <c r="N725" s="413"/>
      <c r="O725" s="413"/>
      <c r="P725" s="413"/>
      <c r="Q725" s="413"/>
      <c r="R725" s="413"/>
      <c r="S725" s="413"/>
      <c r="T725" s="413"/>
      <c r="U725" s="413"/>
      <c r="V725" s="413"/>
      <c r="W725" s="413"/>
      <c r="X725" s="413"/>
      <c r="Y725" s="413"/>
      <c r="Z725" s="413"/>
    </row>
    <row r="726" ht="12.0" customHeight="1">
      <c r="A726" s="413"/>
      <c r="B726" s="413"/>
      <c r="C726" s="413"/>
      <c r="D726" s="414"/>
      <c r="E726" s="414"/>
      <c r="F726" s="414"/>
      <c r="G726" s="414"/>
      <c r="H726" s="413"/>
      <c r="I726" s="413"/>
      <c r="J726" s="413"/>
      <c r="K726" s="413"/>
      <c r="L726" s="413"/>
      <c r="M726" s="413"/>
      <c r="N726" s="413"/>
      <c r="O726" s="413"/>
      <c r="P726" s="413"/>
      <c r="Q726" s="413"/>
      <c r="R726" s="413"/>
      <c r="S726" s="413"/>
      <c r="T726" s="413"/>
      <c r="U726" s="413"/>
      <c r="V726" s="413"/>
      <c r="W726" s="413"/>
      <c r="X726" s="413"/>
      <c r="Y726" s="413"/>
      <c r="Z726" s="413"/>
    </row>
    <row r="727" ht="12.0" customHeight="1">
      <c r="A727" s="413"/>
      <c r="B727" s="413"/>
      <c r="C727" s="413"/>
      <c r="D727" s="414"/>
      <c r="E727" s="414"/>
      <c r="F727" s="414"/>
      <c r="G727" s="414"/>
      <c r="H727" s="413"/>
      <c r="I727" s="413"/>
      <c r="J727" s="413"/>
      <c r="K727" s="413"/>
      <c r="L727" s="413"/>
      <c r="M727" s="413"/>
      <c r="N727" s="413"/>
      <c r="O727" s="413"/>
      <c r="P727" s="413"/>
      <c r="Q727" s="413"/>
      <c r="R727" s="413"/>
      <c r="S727" s="413"/>
      <c r="T727" s="413"/>
      <c r="U727" s="413"/>
      <c r="V727" s="413"/>
      <c r="W727" s="413"/>
      <c r="X727" s="413"/>
      <c r="Y727" s="413"/>
      <c r="Z727" s="413"/>
    </row>
    <row r="728" ht="12.0" customHeight="1">
      <c r="A728" s="413"/>
      <c r="B728" s="413"/>
      <c r="C728" s="413"/>
      <c r="D728" s="414"/>
      <c r="E728" s="414"/>
      <c r="F728" s="414"/>
      <c r="G728" s="414"/>
      <c r="H728" s="413"/>
      <c r="I728" s="413"/>
      <c r="J728" s="413"/>
      <c r="K728" s="413"/>
      <c r="L728" s="413"/>
      <c r="M728" s="413"/>
      <c r="N728" s="413"/>
      <c r="O728" s="413"/>
      <c r="P728" s="413"/>
      <c r="Q728" s="413"/>
      <c r="R728" s="413"/>
      <c r="S728" s="413"/>
      <c r="T728" s="413"/>
      <c r="U728" s="413"/>
      <c r="V728" s="413"/>
      <c r="W728" s="413"/>
      <c r="X728" s="413"/>
      <c r="Y728" s="413"/>
      <c r="Z728" s="413"/>
    </row>
    <row r="729" ht="12.0" customHeight="1">
      <c r="A729" s="413"/>
      <c r="B729" s="413"/>
      <c r="C729" s="413"/>
      <c r="D729" s="414"/>
      <c r="E729" s="414"/>
      <c r="F729" s="414"/>
      <c r="G729" s="414"/>
      <c r="H729" s="413"/>
      <c r="I729" s="413"/>
      <c r="J729" s="413"/>
      <c r="K729" s="413"/>
      <c r="L729" s="413"/>
      <c r="M729" s="413"/>
      <c r="N729" s="413"/>
      <c r="O729" s="413"/>
      <c r="P729" s="413"/>
      <c r="Q729" s="413"/>
      <c r="R729" s="413"/>
      <c r="S729" s="413"/>
      <c r="T729" s="413"/>
      <c r="U729" s="413"/>
      <c r="V729" s="413"/>
      <c r="W729" s="413"/>
      <c r="X729" s="413"/>
      <c r="Y729" s="413"/>
      <c r="Z729" s="413"/>
    </row>
    <row r="730" ht="12.0" customHeight="1">
      <c r="A730" s="413"/>
      <c r="B730" s="413"/>
      <c r="C730" s="413"/>
      <c r="D730" s="414"/>
      <c r="E730" s="414"/>
      <c r="F730" s="414"/>
      <c r="G730" s="414"/>
      <c r="H730" s="413"/>
      <c r="I730" s="413"/>
      <c r="J730" s="413"/>
      <c r="K730" s="413"/>
      <c r="L730" s="413"/>
      <c r="M730" s="413"/>
      <c r="N730" s="413"/>
      <c r="O730" s="413"/>
      <c r="P730" s="413"/>
      <c r="Q730" s="413"/>
      <c r="R730" s="413"/>
      <c r="S730" s="413"/>
      <c r="T730" s="413"/>
      <c r="U730" s="413"/>
      <c r="V730" s="413"/>
      <c r="W730" s="413"/>
      <c r="X730" s="413"/>
      <c r="Y730" s="413"/>
      <c r="Z730" s="413"/>
    </row>
    <row r="731" ht="12.0" customHeight="1">
      <c r="A731" s="413"/>
      <c r="B731" s="413"/>
      <c r="C731" s="413"/>
      <c r="D731" s="414"/>
      <c r="E731" s="414"/>
      <c r="F731" s="414"/>
      <c r="G731" s="414"/>
      <c r="H731" s="413"/>
      <c r="I731" s="413"/>
      <c r="J731" s="413"/>
      <c r="K731" s="413"/>
      <c r="L731" s="413"/>
      <c r="M731" s="413"/>
      <c r="N731" s="413"/>
      <c r="O731" s="413"/>
      <c r="P731" s="413"/>
      <c r="Q731" s="413"/>
      <c r="R731" s="413"/>
      <c r="S731" s="413"/>
      <c r="T731" s="413"/>
      <c r="U731" s="413"/>
      <c r="V731" s="413"/>
      <c r="W731" s="413"/>
      <c r="X731" s="413"/>
      <c r="Y731" s="413"/>
      <c r="Z731" s="413"/>
    </row>
    <row r="732" ht="12.0" customHeight="1">
      <c r="A732" s="413"/>
      <c r="B732" s="413"/>
      <c r="C732" s="413"/>
      <c r="D732" s="414"/>
      <c r="E732" s="414"/>
      <c r="F732" s="414"/>
      <c r="G732" s="414"/>
      <c r="H732" s="413"/>
      <c r="I732" s="413"/>
      <c r="J732" s="413"/>
      <c r="K732" s="413"/>
      <c r="L732" s="413"/>
      <c r="M732" s="413"/>
      <c r="N732" s="413"/>
      <c r="O732" s="413"/>
      <c r="P732" s="413"/>
      <c r="Q732" s="413"/>
      <c r="R732" s="413"/>
      <c r="S732" s="413"/>
      <c r="T732" s="413"/>
      <c r="U732" s="413"/>
      <c r="V732" s="413"/>
      <c r="W732" s="413"/>
      <c r="X732" s="413"/>
      <c r="Y732" s="413"/>
      <c r="Z732" s="413"/>
    </row>
    <row r="733" ht="12.0" customHeight="1">
      <c r="A733" s="413"/>
      <c r="B733" s="413"/>
      <c r="C733" s="413"/>
      <c r="D733" s="414"/>
      <c r="E733" s="414"/>
      <c r="F733" s="414"/>
      <c r="G733" s="414"/>
      <c r="H733" s="413"/>
      <c r="I733" s="413"/>
      <c r="J733" s="413"/>
      <c r="K733" s="413"/>
      <c r="L733" s="413"/>
      <c r="M733" s="413"/>
      <c r="N733" s="413"/>
      <c r="O733" s="413"/>
      <c r="P733" s="413"/>
      <c r="Q733" s="413"/>
      <c r="R733" s="413"/>
      <c r="S733" s="413"/>
      <c r="T733" s="413"/>
      <c r="U733" s="413"/>
      <c r="V733" s="413"/>
      <c r="W733" s="413"/>
      <c r="X733" s="413"/>
      <c r="Y733" s="413"/>
      <c r="Z733" s="413"/>
    </row>
    <row r="734" ht="12.0" customHeight="1">
      <c r="A734" s="413"/>
      <c r="B734" s="413"/>
      <c r="C734" s="413"/>
      <c r="D734" s="414"/>
      <c r="E734" s="414"/>
      <c r="F734" s="414"/>
      <c r="G734" s="414"/>
      <c r="H734" s="413"/>
      <c r="I734" s="413"/>
      <c r="J734" s="413"/>
      <c r="K734" s="413"/>
      <c r="L734" s="413"/>
      <c r="M734" s="413"/>
      <c r="N734" s="413"/>
      <c r="O734" s="413"/>
      <c r="P734" s="413"/>
      <c r="Q734" s="413"/>
      <c r="R734" s="413"/>
      <c r="S734" s="413"/>
      <c r="T734" s="413"/>
      <c r="U734" s="413"/>
      <c r="V734" s="413"/>
      <c r="W734" s="413"/>
      <c r="X734" s="413"/>
      <c r="Y734" s="413"/>
      <c r="Z734" s="413"/>
    </row>
    <row r="735" ht="12.0" customHeight="1">
      <c r="A735" s="413"/>
      <c r="B735" s="413"/>
      <c r="C735" s="413"/>
      <c r="D735" s="414"/>
      <c r="E735" s="414"/>
      <c r="F735" s="414"/>
      <c r="G735" s="414"/>
      <c r="H735" s="413"/>
      <c r="I735" s="413"/>
      <c r="J735" s="413"/>
      <c r="K735" s="413"/>
      <c r="L735" s="413"/>
      <c r="M735" s="413"/>
      <c r="N735" s="413"/>
      <c r="O735" s="413"/>
      <c r="P735" s="413"/>
      <c r="Q735" s="413"/>
      <c r="R735" s="413"/>
      <c r="S735" s="413"/>
      <c r="T735" s="413"/>
      <c r="U735" s="413"/>
      <c r="V735" s="413"/>
      <c r="W735" s="413"/>
      <c r="X735" s="413"/>
      <c r="Y735" s="413"/>
      <c r="Z735" s="413"/>
    </row>
    <row r="736" ht="12.0" customHeight="1">
      <c r="A736" s="413"/>
      <c r="B736" s="413"/>
      <c r="C736" s="413"/>
      <c r="D736" s="414"/>
      <c r="E736" s="414"/>
      <c r="F736" s="414"/>
      <c r="G736" s="414"/>
      <c r="H736" s="413"/>
      <c r="I736" s="413"/>
      <c r="J736" s="413"/>
      <c r="K736" s="413"/>
      <c r="L736" s="413"/>
      <c r="M736" s="413"/>
      <c r="N736" s="413"/>
      <c r="O736" s="413"/>
      <c r="P736" s="413"/>
      <c r="Q736" s="413"/>
      <c r="R736" s="413"/>
      <c r="S736" s="413"/>
      <c r="T736" s="413"/>
      <c r="U736" s="413"/>
      <c r="V736" s="413"/>
      <c r="W736" s="413"/>
      <c r="X736" s="413"/>
      <c r="Y736" s="413"/>
      <c r="Z736" s="413"/>
    </row>
    <row r="737" ht="12.0" customHeight="1">
      <c r="A737" s="413"/>
      <c r="B737" s="413"/>
      <c r="C737" s="413"/>
      <c r="D737" s="414"/>
      <c r="E737" s="414"/>
      <c r="F737" s="414"/>
      <c r="G737" s="414"/>
      <c r="H737" s="413"/>
      <c r="I737" s="413"/>
      <c r="J737" s="413"/>
      <c r="K737" s="413"/>
      <c r="L737" s="413"/>
      <c r="M737" s="413"/>
      <c r="N737" s="413"/>
      <c r="O737" s="413"/>
      <c r="P737" s="413"/>
      <c r="Q737" s="413"/>
      <c r="R737" s="413"/>
      <c r="S737" s="413"/>
      <c r="T737" s="413"/>
      <c r="U737" s="413"/>
      <c r="V737" s="413"/>
      <c r="W737" s="413"/>
      <c r="X737" s="413"/>
      <c r="Y737" s="413"/>
      <c r="Z737" s="413"/>
    </row>
    <row r="738" ht="12.0" customHeight="1">
      <c r="A738" s="413"/>
      <c r="B738" s="413"/>
      <c r="C738" s="413"/>
      <c r="D738" s="414"/>
      <c r="E738" s="414"/>
      <c r="F738" s="414"/>
      <c r="G738" s="414"/>
      <c r="H738" s="413"/>
      <c r="I738" s="413"/>
      <c r="J738" s="413"/>
      <c r="K738" s="413"/>
      <c r="L738" s="413"/>
      <c r="M738" s="413"/>
      <c r="N738" s="413"/>
      <c r="O738" s="413"/>
      <c r="P738" s="413"/>
      <c r="Q738" s="413"/>
      <c r="R738" s="413"/>
      <c r="S738" s="413"/>
      <c r="T738" s="413"/>
      <c r="U738" s="413"/>
      <c r="V738" s="413"/>
      <c r="W738" s="413"/>
      <c r="X738" s="413"/>
      <c r="Y738" s="413"/>
      <c r="Z738" s="413"/>
    </row>
    <row r="739" ht="12.0" customHeight="1">
      <c r="A739" s="413"/>
      <c r="B739" s="413"/>
      <c r="C739" s="413"/>
      <c r="D739" s="414"/>
      <c r="E739" s="414"/>
      <c r="F739" s="414"/>
      <c r="G739" s="414"/>
      <c r="H739" s="413"/>
      <c r="I739" s="413"/>
      <c r="J739" s="413"/>
      <c r="K739" s="413"/>
      <c r="L739" s="413"/>
      <c r="M739" s="413"/>
      <c r="N739" s="413"/>
      <c r="O739" s="413"/>
      <c r="P739" s="413"/>
      <c r="Q739" s="413"/>
      <c r="R739" s="413"/>
      <c r="S739" s="413"/>
      <c r="T739" s="413"/>
      <c r="U739" s="413"/>
      <c r="V739" s="413"/>
      <c r="W739" s="413"/>
      <c r="X739" s="413"/>
      <c r="Y739" s="413"/>
      <c r="Z739" s="413"/>
    </row>
    <row r="740" ht="12.0" customHeight="1">
      <c r="A740" s="413"/>
      <c r="B740" s="413"/>
      <c r="C740" s="413"/>
      <c r="D740" s="414"/>
      <c r="E740" s="414"/>
      <c r="F740" s="414"/>
      <c r="G740" s="414"/>
      <c r="H740" s="413"/>
      <c r="I740" s="413"/>
      <c r="J740" s="413"/>
      <c r="K740" s="413"/>
      <c r="L740" s="413"/>
      <c r="M740" s="413"/>
      <c r="N740" s="413"/>
      <c r="O740" s="413"/>
      <c r="P740" s="413"/>
      <c r="Q740" s="413"/>
      <c r="R740" s="413"/>
      <c r="S740" s="413"/>
      <c r="T740" s="413"/>
      <c r="U740" s="413"/>
      <c r="V740" s="413"/>
      <c r="W740" s="413"/>
      <c r="X740" s="413"/>
      <c r="Y740" s="413"/>
      <c r="Z740" s="413"/>
    </row>
    <row r="741" ht="12.0" customHeight="1">
      <c r="A741" s="413"/>
      <c r="B741" s="413"/>
      <c r="C741" s="413"/>
      <c r="D741" s="414"/>
      <c r="E741" s="414"/>
      <c r="F741" s="414"/>
      <c r="G741" s="414"/>
      <c r="H741" s="413"/>
      <c r="I741" s="413"/>
      <c r="J741" s="413"/>
      <c r="K741" s="413"/>
      <c r="L741" s="413"/>
      <c r="M741" s="413"/>
      <c r="N741" s="413"/>
      <c r="O741" s="413"/>
      <c r="P741" s="413"/>
      <c r="Q741" s="413"/>
      <c r="R741" s="413"/>
      <c r="S741" s="413"/>
      <c r="T741" s="413"/>
      <c r="U741" s="413"/>
      <c r="V741" s="413"/>
      <c r="W741" s="413"/>
      <c r="X741" s="413"/>
      <c r="Y741" s="413"/>
      <c r="Z741" s="413"/>
    </row>
    <row r="742" ht="12.0" customHeight="1">
      <c r="A742" s="413"/>
      <c r="B742" s="413"/>
      <c r="C742" s="413"/>
      <c r="D742" s="414"/>
      <c r="E742" s="414"/>
      <c r="F742" s="414"/>
      <c r="G742" s="414"/>
      <c r="H742" s="413"/>
      <c r="I742" s="413"/>
      <c r="J742" s="413"/>
      <c r="K742" s="413"/>
      <c r="L742" s="413"/>
      <c r="M742" s="413"/>
      <c r="N742" s="413"/>
      <c r="O742" s="413"/>
      <c r="P742" s="413"/>
      <c r="Q742" s="413"/>
      <c r="R742" s="413"/>
      <c r="S742" s="413"/>
      <c r="T742" s="413"/>
      <c r="U742" s="413"/>
      <c r="V742" s="413"/>
      <c r="W742" s="413"/>
      <c r="X742" s="413"/>
      <c r="Y742" s="413"/>
      <c r="Z742" s="413"/>
    </row>
    <row r="743" ht="12.0" customHeight="1">
      <c r="A743" s="413"/>
      <c r="B743" s="413"/>
      <c r="C743" s="413"/>
      <c r="D743" s="414"/>
      <c r="E743" s="414"/>
      <c r="F743" s="414"/>
      <c r="G743" s="414"/>
      <c r="H743" s="413"/>
      <c r="I743" s="413"/>
      <c r="J743" s="413"/>
      <c r="K743" s="413"/>
      <c r="L743" s="413"/>
      <c r="M743" s="413"/>
      <c r="N743" s="413"/>
      <c r="O743" s="413"/>
      <c r="P743" s="413"/>
      <c r="Q743" s="413"/>
      <c r="R743" s="413"/>
      <c r="S743" s="413"/>
      <c r="T743" s="413"/>
      <c r="U743" s="413"/>
      <c r="V743" s="413"/>
      <c r="W743" s="413"/>
      <c r="X743" s="413"/>
      <c r="Y743" s="413"/>
      <c r="Z743" s="413"/>
    </row>
    <row r="744" ht="12.0" customHeight="1">
      <c r="A744" s="413"/>
      <c r="B744" s="413"/>
      <c r="C744" s="413"/>
      <c r="D744" s="414"/>
      <c r="E744" s="414"/>
      <c r="F744" s="414"/>
      <c r="G744" s="414"/>
      <c r="H744" s="413"/>
      <c r="I744" s="413"/>
      <c r="J744" s="413"/>
      <c r="K744" s="413"/>
      <c r="L744" s="413"/>
      <c r="M744" s="413"/>
      <c r="N744" s="413"/>
      <c r="O744" s="413"/>
      <c r="P744" s="413"/>
      <c r="Q744" s="413"/>
      <c r="R744" s="413"/>
      <c r="S744" s="413"/>
      <c r="T744" s="413"/>
      <c r="U744" s="413"/>
      <c r="V744" s="413"/>
      <c r="W744" s="413"/>
      <c r="X744" s="413"/>
      <c r="Y744" s="413"/>
      <c r="Z744" s="413"/>
    </row>
    <row r="745" ht="12.0" customHeight="1">
      <c r="A745" s="413"/>
      <c r="B745" s="413"/>
      <c r="C745" s="413"/>
      <c r="D745" s="414"/>
      <c r="E745" s="414"/>
      <c r="F745" s="414"/>
      <c r="G745" s="414"/>
      <c r="H745" s="413"/>
      <c r="I745" s="413"/>
      <c r="J745" s="413"/>
      <c r="K745" s="413"/>
      <c r="L745" s="413"/>
      <c r="M745" s="413"/>
      <c r="N745" s="413"/>
      <c r="O745" s="413"/>
      <c r="P745" s="413"/>
      <c r="Q745" s="413"/>
      <c r="R745" s="413"/>
      <c r="S745" s="413"/>
      <c r="T745" s="413"/>
      <c r="U745" s="413"/>
      <c r="V745" s="413"/>
      <c r="W745" s="413"/>
      <c r="X745" s="413"/>
      <c r="Y745" s="413"/>
      <c r="Z745" s="413"/>
    </row>
    <row r="746" ht="12.0" customHeight="1">
      <c r="A746" s="413"/>
      <c r="B746" s="413"/>
      <c r="C746" s="413"/>
      <c r="D746" s="414"/>
      <c r="E746" s="414"/>
      <c r="F746" s="414"/>
      <c r="G746" s="414"/>
      <c r="H746" s="413"/>
      <c r="I746" s="413"/>
      <c r="J746" s="413"/>
      <c r="K746" s="413"/>
      <c r="L746" s="413"/>
      <c r="M746" s="413"/>
      <c r="N746" s="413"/>
      <c r="O746" s="413"/>
      <c r="P746" s="413"/>
      <c r="Q746" s="413"/>
      <c r="R746" s="413"/>
      <c r="S746" s="413"/>
      <c r="T746" s="413"/>
      <c r="U746" s="413"/>
      <c r="V746" s="413"/>
      <c r="W746" s="413"/>
      <c r="X746" s="413"/>
      <c r="Y746" s="413"/>
      <c r="Z746" s="413"/>
    </row>
    <row r="747" ht="12.0" customHeight="1">
      <c r="A747" s="413"/>
      <c r="B747" s="413"/>
      <c r="C747" s="413"/>
      <c r="D747" s="414"/>
      <c r="E747" s="414"/>
      <c r="F747" s="414"/>
      <c r="G747" s="414"/>
      <c r="H747" s="413"/>
      <c r="I747" s="413"/>
      <c r="J747" s="413"/>
      <c r="K747" s="413"/>
      <c r="L747" s="413"/>
      <c r="M747" s="413"/>
      <c r="N747" s="413"/>
      <c r="O747" s="413"/>
      <c r="P747" s="413"/>
      <c r="Q747" s="413"/>
      <c r="R747" s="413"/>
      <c r="S747" s="413"/>
      <c r="T747" s="413"/>
      <c r="U747" s="413"/>
      <c r="V747" s="413"/>
      <c r="W747" s="413"/>
      <c r="X747" s="413"/>
      <c r="Y747" s="413"/>
      <c r="Z747" s="413"/>
    </row>
    <row r="748" ht="12.0" customHeight="1">
      <c r="A748" s="413"/>
      <c r="B748" s="413"/>
      <c r="C748" s="413"/>
      <c r="D748" s="414"/>
      <c r="E748" s="414"/>
      <c r="F748" s="414"/>
      <c r="G748" s="414"/>
      <c r="H748" s="413"/>
      <c r="I748" s="413"/>
      <c r="J748" s="413"/>
      <c r="K748" s="413"/>
      <c r="L748" s="413"/>
      <c r="M748" s="413"/>
      <c r="N748" s="413"/>
      <c r="O748" s="413"/>
      <c r="P748" s="413"/>
      <c r="Q748" s="413"/>
      <c r="R748" s="413"/>
      <c r="S748" s="413"/>
      <c r="T748" s="413"/>
      <c r="U748" s="413"/>
      <c r="V748" s="413"/>
      <c r="W748" s="413"/>
      <c r="X748" s="413"/>
      <c r="Y748" s="413"/>
      <c r="Z748" s="413"/>
    </row>
    <row r="749" ht="12.0" customHeight="1">
      <c r="A749" s="413"/>
      <c r="B749" s="413"/>
      <c r="C749" s="413"/>
      <c r="D749" s="414"/>
      <c r="E749" s="414"/>
      <c r="F749" s="414"/>
      <c r="G749" s="414"/>
      <c r="H749" s="413"/>
      <c r="I749" s="413"/>
      <c r="J749" s="413"/>
      <c r="K749" s="413"/>
      <c r="L749" s="413"/>
      <c r="M749" s="413"/>
      <c r="N749" s="413"/>
      <c r="O749" s="413"/>
      <c r="P749" s="413"/>
      <c r="Q749" s="413"/>
      <c r="R749" s="413"/>
      <c r="S749" s="413"/>
      <c r="T749" s="413"/>
      <c r="U749" s="413"/>
      <c r="V749" s="413"/>
      <c r="W749" s="413"/>
      <c r="X749" s="413"/>
      <c r="Y749" s="413"/>
      <c r="Z749" s="413"/>
    </row>
    <row r="750" ht="12.0" customHeight="1">
      <c r="A750" s="413"/>
      <c r="B750" s="413"/>
      <c r="C750" s="413"/>
      <c r="D750" s="414"/>
      <c r="E750" s="414"/>
      <c r="F750" s="414"/>
      <c r="G750" s="414"/>
      <c r="H750" s="413"/>
      <c r="I750" s="413"/>
      <c r="J750" s="413"/>
      <c r="K750" s="413"/>
      <c r="L750" s="413"/>
      <c r="M750" s="413"/>
      <c r="N750" s="413"/>
      <c r="O750" s="413"/>
      <c r="P750" s="413"/>
      <c r="Q750" s="413"/>
      <c r="R750" s="413"/>
      <c r="S750" s="413"/>
      <c r="T750" s="413"/>
      <c r="U750" s="413"/>
      <c r="V750" s="413"/>
      <c r="W750" s="413"/>
      <c r="X750" s="413"/>
      <c r="Y750" s="413"/>
      <c r="Z750" s="413"/>
    </row>
    <row r="751" ht="12.0" customHeight="1">
      <c r="A751" s="413"/>
      <c r="B751" s="413"/>
      <c r="C751" s="413"/>
      <c r="D751" s="414"/>
      <c r="E751" s="414"/>
      <c r="F751" s="414"/>
      <c r="G751" s="414"/>
      <c r="H751" s="413"/>
      <c r="I751" s="413"/>
      <c r="J751" s="413"/>
      <c r="K751" s="413"/>
      <c r="L751" s="413"/>
      <c r="M751" s="413"/>
      <c r="N751" s="413"/>
      <c r="O751" s="413"/>
      <c r="P751" s="413"/>
      <c r="Q751" s="413"/>
      <c r="R751" s="413"/>
      <c r="S751" s="413"/>
      <c r="T751" s="413"/>
      <c r="U751" s="413"/>
      <c r="V751" s="413"/>
      <c r="W751" s="413"/>
      <c r="X751" s="413"/>
      <c r="Y751" s="413"/>
      <c r="Z751" s="413"/>
    </row>
    <row r="752" ht="12.0" customHeight="1">
      <c r="A752" s="413"/>
      <c r="B752" s="413"/>
      <c r="C752" s="413"/>
      <c r="D752" s="414"/>
      <c r="E752" s="414"/>
      <c r="F752" s="414"/>
      <c r="G752" s="414"/>
      <c r="H752" s="413"/>
      <c r="I752" s="413"/>
      <c r="J752" s="413"/>
      <c r="K752" s="413"/>
      <c r="L752" s="413"/>
      <c r="M752" s="413"/>
      <c r="N752" s="413"/>
      <c r="O752" s="413"/>
      <c r="P752" s="413"/>
      <c r="Q752" s="413"/>
      <c r="R752" s="413"/>
      <c r="S752" s="413"/>
      <c r="T752" s="413"/>
      <c r="U752" s="413"/>
      <c r="V752" s="413"/>
      <c r="W752" s="413"/>
      <c r="X752" s="413"/>
      <c r="Y752" s="413"/>
      <c r="Z752" s="413"/>
    </row>
    <row r="753" ht="12.0" customHeight="1">
      <c r="A753" s="413"/>
      <c r="B753" s="413"/>
      <c r="C753" s="413"/>
      <c r="D753" s="414"/>
      <c r="E753" s="414"/>
      <c r="F753" s="414"/>
      <c r="G753" s="414"/>
      <c r="H753" s="413"/>
      <c r="I753" s="413"/>
      <c r="J753" s="413"/>
      <c r="K753" s="413"/>
      <c r="L753" s="413"/>
      <c r="M753" s="413"/>
      <c r="N753" s="413"/>
      <c r="O753" s="413"/>
      <c r="P753" s="413"/>
      <c r="Q753" s="413"/>
      <c r="R753" s="413"/>
      <c r="S753" s="413"/>
      <c r="T753" s="413"/>
      <c r="U753" s="413"/>
      <c r="V753" s="413"/>
      <c r="W753" s="413"/>
      <c r="X753" s="413"/>
      <c r="Y753" s="413"/>
      <c r="Z753" s="413"/>
    </row>
    <row r="754" ht="12.0" customHeight="1">
      <c r="A754" s="413"/>
      <c r="B754" s="413"/>
      <c r="C754" s="413"/>
      <c r="D754" s="414"/>
      <c r="E754" s="414"/>
      <c r="F754" s="414"/>
      <c r="G754" s="414"/>
      <c r="H754" s="413"/>
      <c r="I754" s="413"/>
      <c r="J754" s="413"/>
      <c r="K754" s="413"/>
      <c r="L754" s="413"/>
      <c r="M754" s="413"/>
      <c r="N754" s="413"/>
      <c r="O754" s="413"/>
      <c r="P754" s="413"/>
      <c r="Q754" s="413"/>
      <c r="R754" s="413"/>
      <c r="S754" s="413"/>
      <c r="T754" s="413"/>
      <c r="U754" s="413"/>
      <c r="V754" s="413"/>
      <c r="W754" s="413"/>
      <c r="X754" s="413"/>
      <c r="Y754" s="413"/>
      <c r="Z754" s="413"/>
    </row>
    <row r="755" ht="12.0" customHeight="1">
      <c r="A755" s="413"/>
      <c r="B755" s="413"/>
      <c r="C755" s="413"/>
      <c r="D755" s="414"/>
      <c r="E755" s="414"/>
      <c r="F755" s="414"/>
      <c r="G755" s="414"/>
      <c r="H755" s="413"/>
      <c r="I755" s="413"/>
      <c r="J755" s="413"/>
      <c r="K755" s="413"/>
      <c r="L755" s="413"/>
      <c r="M755" s="413"/>
      <c r="N755" s="413"/>
      <c r="O755" s="413"/>
      <c r="P755" s="413"/>
      <c r="Q755" s="413"/>
      <c r="R755" s="413"/>
      <c r="S755" s="413"/>
      <c r="T755" s="413"/>
      <c r="U755" s="413"/>
      <c r="V755" s="413"/>
      <c r="W755" s="413"/>
      <c r="X755" s="413"/>
      <c r="Y755" s="413"/>
      <c r="Z755" s="413"/>
    </row>
    <row r="756" ht="12.0" customHeight="1">
      <c r="A756" s="413"/>
      <c r="B756" s="413"/>
      <c r="C756" s="413"/>
      <c r="D756" s="414"/>
      <c r="E756" s="414"/>
      <c r="F756" s="414"/>
      <c r="G756" s="414"/>
      <c r="H756" s="413"/>
      <c r="I756" s="413"/>
      <c r="J756" s="413"/>
      <c r="K756" s="413"/>
      <c r="L756" s="413"/>
      <c r="M756" s="413"/>
      <c r="N756" s="413"/>
      <c r="O756" s="413"/>
      <c r="P756" s="413"/>
      <c r="Q756" s="413"/>
      <c r="R756" s="413"/>
      <c r="S756" s="413"/>
      <c r="T756" s="413"/>
      <c r="U756" s="413"/>
      <c r="V756" s="413"/>
      <c r="W756" s="413"/>
      <c r="X756" s="413"/>
      <c r="Y756" s="413"/>
      <c r="Z756" s="413"/>
    </row>
    <row r="757" ht="12.0" customHeight="1">
      <c r="A757" s="413"/>
      <c r="B757" s="413"/>
      <c r="C757" s="413"/>
      <c r="D757" s="414"/>
      <c r="E757" s="414"/>
      <c r="F757" s="414"/>
      <c r="G757" s="414"/>
      <c r="H757" s="413"/>
      <c r="I757" s="413"/>
      <c r="J757" s="413"/>
      <c r="K757" s="413"/>
      <c r="L757" s="413"/>
      <c r="M757" s="413"/>
      <c r="N757" s="413"/>
      <c r="O757" s="413"/>
      <c r="P757" s="413"/>
      <c r="Q757" s="413"/>
      <c r="R757" s="413"/>
      <c r="S757" s="413"/>
      <c r="T757" s="413"/>
      <c r="U757" s="413"/>
      <c r="V757" s="413"/>
      <c r="W757" s="413"/>
      <c r="X757" s="413"/>
      <c r="Y757" s="413"/>
      <c r="Z757" s="413"/>
    </row>
    <row r="758" ht="12.0" customHeight="1">
      <c r="A758" s="413"/>
      <c r="B758" s="413"/>
      <c r="C758" s="413"/>
      <c r="D758" s="414"/>
      <c r="E758" s="414"/>
      <c r="F758" s="414"/>
      <c r="G758" s="414"/>
      <c r="H758" s="413"/>
      <c r="I758" s="413"/>
      <c r="J758" s="413"/>
      <c r="K758" s="413"/>
      <c r="L758" s="413"/>
      <c r="M758" s="413"/>
      <c r="N758" s="413"/>
      <c r="O758" s="413"/>
      <c r="P758" s="413"/>
      <c r="Q758" s="413"/>
      <c r="R758" s="413"/>
      <c r="S758" s="413"/>
      <c r="T758" s="413"/>
      <c r="U758" s="413"/>
      <c r="V758" s="413"/>
      <c r="W758" s="413"/>
      <c r="X758" s="413"/>
      <c r="Y758" s="413"/>
      <c r="Z758" s="413"/>
    </row>
    <row r="759" ht="12.0" customHeight="1">
      <c r="A759" s="413"/>
      <c r="B759" s="413"/>
      <c r="C759" s="413"/>
      <c r="D759" s="414"/>
      <c r="E759" s="414"/>
      <c r="F759" s="414"/>
      <c r="G759" s="414"/>
      <c r="H759" s="413"/>
      <c r="I759" s="413"/>
      <c r="J759" s="413"/>
      <c r="K759" s="413"/>
      <c r="L759" s="413"/>
      <c r="M759" s="413"/>
      <c r="N759" s="413"/>
      <c r="O759" s="413"/>
      <c r="P759" s="413"/>
      <c r="Q759" s="413"/>
      <c r="R759" s="413"/>
      <c r="S759" s="413"/>
      <c r="T759" s="413"/>
      <c r="U759" s="413"/>
      <c r="V759" s="413"/>
      <c r="W759" s="413"/>
      <c r="X759" s="413"/>
      <c r="Y759" s="413"/>
      <c r="Z759" s="413"/>
    </row>
    <row r="760" ht="12.0" customHeight="1">
      <c r="A760" s="413"/>
      <c r="B760" s="413"/>
      <c r="C760" s="413"/>
      <c r="D760" s="414"/>
      <c r="E760" s="414"/>
      <c r="F760" s="414"/>
      <c r="G760" s="414"/>
      <c r="H760" s="413"/>
      <c r="I760" s="413"/>
      <c r="J760" s="413"/>
      <c r="K760" s="413"/>
      <c r="L760" s="413"/>
      <c r="M760" s="413"/>
      <c r="N760" s="413"/>
      <c r="O760" s="413"/>
      <c r="P760" s="413"/>
      <c r="Q760" s="413"/>
      <c r="R760" s="413"/>
      <c r="S760" s="413"/>
      <c r="T760" s="413"/>
      <c r="U760" s="413"/>
      <c r="V760" s="413"/>
      <c r="W760" s="413"/>
      <c r="X760" s="413"/>
      <c r="Y760" s="413"/>
      <c r="Z760" s="413"/>
    </row>
    <row r="761" ht="12.0" customHeight="1">
      <c r="A761" s="413"/>
      <c r="B761" s="413"/>
      <c r="C761" s="413"/>
      <c r="D761" s="414"/>
      <c r="E761" s="414"/>
      <c r="F761" s="414"/>
      <c r="G761" s="414"/>
      <c r="H761" s="413"/>
      <c r="I761" s="413"/>
      <c r="J761" s="413"/>
      <c r="K761" s="413"/>
      <c r="L761" s="413"/>
      <c r="M761" s="413"/>
      <c r="N761" s="413"/>
      <c r="O761" s="413"/>
      <c r="P761" s="413"/>
      <c r="Q761" s="413"/>
      <c r="R761" s="413"/>
      <c r="S761" s="413"/>
      <c r="T761" s="413"/>
      <c r="U761" s="413"/>
      <c r="V761" s="413"/>
      <c r="W761" s="413"/>
      <c r="X761" s="413"/>
      <c r="Y761" s="413"/>
      <c r="Z761" s="413"/>
    </row>
    <row r="762" ht="12.0" customHeight="1">
      <c r="A762" s="413"/>
      <c r="B762" s="413"/>
      <c r="C762" s="413"/>
      <c r="D762" s="414"/>
      <c r="E762" s="414"/>
      <c r="F762" s="414"/>
      <c r="G762" s="414"/>
      <c r="H762" s="413"/>
      <c r="I762" s="413"/>
      <c r="J762" s="413"/>
      <c r="K762" s="413"/>
      <c r="L762" s="413"/>
      <c r="M762" s="413"/>
      <c r="N762" s="413"/>
      <c r="O762" s="413"/>
      <c r="P762" s="413"/>
      <c r="Q762" s="413"/>
      <c r="R762" s="413"/>
      <c r="S762" s="413"/>
      <c r="T762" s="413"/>
      <c r="U762" s="413"/>
      <c r="V762" s="413"/>
      <c r="W762" s="413"/>
      <c r="X762" s="413"/>
      <c r="Y762" s="413"/>
      <c r="Z762" s="413"/>
    </row>
    <row r="763" ht="12.0" customHeight="1">
      <c r="A763" s="413"/>
      <c r="B763" s="413"/>
      <c r="C763" s="413"/>
      <c r="D763" s="414"/>
      <c r="E763" s="414"/>
      <c r="F763" s="414"/>
      <c r="G763" s="414"/>
      <c r="H763" s="413"/>
      <c r="I763" s="413"/>
      <c r="J763" s="413"/>
      <c r="K763" s="413"/>
      <c r="L763" s="413"/>
      <c r="M763" s="413"/>
      <c r="N763" s="413"/>
      <c r="O763" s="413"/>
      <c r="P763" s="413"/>
      <c r="Q763" s="413"/>
      <c r="R763" s="413"/>
      <c r="S763" s="413"/>
      <c r="T763" s="413"/>
      <c r="U763" s="413"/>
      <c r="V763" s="413"/>
      <c r="W763" s="413"/>
      <c r="X763" s="413"/>
      <c r="Y763" s="413"/>
      <c r="Z763" s="413"/>
    </row>
    <row r="764" ht="12.0" customHeight="1">
      <c r="A764" s="413"/>
      <c r="B764" s="413"/>
      <c r="C764" s="413"/>
      <c r="D764" s="414"/>
      <c r="E764" s="414"/>
      <c r="F764" s="414"/>
      <c r="G764" s="414"/>
      <c r="H764" s="413"/>
      <c r="I764" s="413"/>
      <c r="J764" s="413"/>
      <c r="K764" s="413"/>
      <c r="L764" s="413"/>
      <c r="M764" s="413"/>
      <c r="N764" s="413"/>
      <c r="O764" s="413"/>
      <c r="P764" s="413"/>
      <c r="Q764" s="413"/>
      <c r="R764" s="413"/>
      <c r="S764" s="413"/>
      <c r="T764" s="413"/>
      <c r="U764" s="413"/>
      <c r="V764" s="413"/>
      <c r="W764" s="413"/>
      <c r="X764" s="413"/>
      <c r="Y764" s="413"/>
      <c r="Z764" s="413"/>
    </row>
    <row r="765" ht="12.0" customHeight="1">
      <c r="A765" s="413"/>
      <c r="B765" s="413"/>
      <c r="C765" s="413"/>
      <c r="D765" s="414"/>
      <c r="E765" s="414"/>
      <c r="F765" s="414"/>
      <c r="G765" s="414"/>
      <c r="H765" s="413"/>
      <c r="I765" s="413"/>
      <c r="J765" s="413"/>
      <c r="K765" s="413"/>
      <c r="L765" s="413"/>
      <c r="M765" s="413"/>
      <c r="N765" s="413"/>
      <c r="O765" s="413"/>
      <c r="P765" s="413"/>
      <c r="Q765" s="413"/>
      <c r="R765" s="413"/>
      <c r="S765" s="413"/>
      <c r="T765" s="413"/>
      <c r="U765" s="413"/>
      <c r="V765" s="413"/>
      <c r="W765" s="413"/>
      <c r="X765" s="413"/>
      <c r="Y765" s="413"/>
      <c r="Z765" s="413"/>
    </row>
    <row r="766" ht="12.0" customHeight="1">
      <c r="A766" s="413"/>
      <c r="B766" s="413"/>
      <c r="C766" s="413"/>
      <c r="D766" s="414"/>
      <c r="E766" s="414"/>
      <c r="F766" s="414"/>
      <c r="G766" s="414"/>
      <c r="H766" s="413"/>
      <c r="I766" s="413"/>
      <c r="J766" s="413"/>
      <c r="K766" s="413"/>
      <c r="L766" s="413"/>
      <c r="M766" s="413"/>
      <c r="N766" s="413"/>
      <c r="O766" s="413"/>
      <c r="P766" s="413"/>
      <c r="Q766" s="413"/>
      <c r="R766" s="413"/>
      <c r="S766" s="413"/>
      <c r="T766" s="413"/>
      <c r="U766" s="413"/>
      <c r="V766" s="413"/>
      <c r="W766" s="413"/>
      <c r="X766" s="413"/>
      <c r="Y766" s="413"/>
      <c r="Z766" s="413"/>
    </row>
    <row r="767" ht="12.0" customHeight="1">
      <c r="A767" s="413"/>
      <c r="B767" s="413"/>
      <c r="C767" s="413"/>
      <c r="D767" s="414"/>
      <c r="E767" s="414"/>
      <c r="F767" s="414"/>
      <c r="G767" s="414"/>
      <c r="H767" s="413"/>
      <c r="I767" s="413"/>
      <c r="J767" s="413"/>
      <c r="K767" s="413"/>
      <c r="L767" s="413"/>
      <c r="M767" s="413"/>
      <c r="N767" s="413"/>
      <c r="O767" s="413"/>
      <c r="P767" s="413"/>
      <c r="Q767" s="413"/>
      <c r="R767" s="413"/>
      <c r="S767" s="413"/>
      <c r="T767" s="413"/>
      <c r="U767" s="413"/>
      <c r="V767" s="413"/>
      <c r="W767" s="413"/>
      <c r="X767" s="413"/>
      <c r="Y767" s="413"/>
      <c r="Z767" s="413"/>
    </row>
    <row r="768" ht="12.0" customHeight="1">
      <c r="A768" s="413"/>
      <c r="B768" s="413"/>
      <c r="C768" s="413"/>
      <c r="D768" s="414"/>
      <c r="E768" s="414"/>
      <c r="F768" s="414"/>
      <c r="G768" s="414"/>
      <c r="H768" s="413"/>
      <c r="I768" s="413"/>
      <c r="J768" s="413"/>
      <c r="K768" s="413"/>
      <c r="L768" s="413"/>
      <c r="M768" s="413"/>
      <c r="N768" s="413"/>
      <c r="O768" s="413"/>
      <c r="P768" s="413"/>
      <c r="Q768" s="413"/>
      <c r="R768" s="413"/>
      <c r="S768" s="413"/>
      <c r="T768" s="413"/>
      <c r="U768" s="413"/>
      <c r="V768" s="413"/>
      <c r="W768" s="413"/>
      <c r="X768" s="413"/>
      <c r="Y768" s="413"/>
      <c r="Z768" s="413"/>
    </row>
    <row r="769" ht="12.0" customHeight="1">
      <c r="A769" s="413"/>
      <c r="B769" s="413"/>
      <c r="C769" s="413"/>
      <c r="D769" s="414"/>
      <c r="E769" s="414"/>
      <c r="F769" s="414"/>
      <c r="G769" s="414"/>
      <c r="H769" s="413"/>
      <c r="I769" s="413"/>
      <c r="J769" s="413"/>
      <c r="K769" s="413"/>
      <c r="L769" s="413"/>
      <c r="M769" s="413"/>
      <c r="N769" s="413"/>
      <c r="O769" s="413"/>
      <c r="P769" s="413"/>
      <c r="Q769" s="413"/>
      <c r="R769" s="413"/>
      <c r="S769" s="413"/>
      <c r="T769" s="413"/>
      <c r="U769" s="413"/>
      <c r="V769" s="413"/>
      <c r="W769" s="413"/>
      <c r="X769" s="413"/>
      <c r="Y769" s="413"/>
      <c r="Z769" s="413"/>
    </row>
    <row r="770" ht="12.0" customHeight="1">
      <c r="A770" s="413"/>
      <c r="B770" s="413"/>
      <c r="C770" s="413"/>
      <c r="D770" s="414"/>
      <c r="E770" s="414"/>
      <c r="F770" s="414"/>
      <c r="G770" s="414"/>
      <c r="H770" s="413"/>
      <c r="I770" s="413"/>
      <c r="J770" s="413"/>
      <c r="K770" s="413"/>
      <c r="L770" s="413"/>
      <c r="M770" s="413"/>
      <c r="N770" s="413"/>
      <c r="O770" s="413"/>
      <c r="P770" s="413"/>
      <c r="Q770" s="413"/>
      <c r="R770" s="413"/>
      <c r="S770" s="413"/>
      <c r="T770" s="413"/>
      <c r="U770" s="413"/>
      <c r="V770" s="413"/>
      <c r="W770" s="413"/>
      <c r="X770" s="413"/>
      <c r="Y770" s="413"/>
      <c r="Z770" s="413"/>
    </row>
    <row r="771" ht="12.0" customHeight="1">
      <c r="A771" s="413"/>
      <c r="B771" s="413"/>
      <c r="C771" s="413"/>
      <c r="D771" s="414"/>
      <c r="E771" s="414"/>
      <c r="F771" s="414"/>
      <c r="G771" s="414"/>
      <c r="H771" s="413"/>
      <c r="I771" s="413"/>
      <c r="J771" s="413"/>
      <c r="K771" s="413"/>
      <c r="L771" s="413"/>
      <c r="M771" s="413"/>
      <c r="N771" s="413"/>
      <c r="O771" s="413"/>
      <c r="P771" s="413"/>
      <c r="Q771" s="413"/>
      <c r="R771" s="413"/>
      <c r="S771" s="413"/>
      <c r="T771" s="413"/>
      <c r="U771" s="413"/>
      <c r="V771" s="413"/>
      <c r="W771" s="413"/>
      <c r="X771" s="413"/>
      <c r="Y771" s="413"/>
      <c r="Z771" s="413"/>
    </row>
    <row r="772" ht="12.0" customHeight="1">
      <c r="A772" s="413"/>
      <c r="B772" s="413"/>
      <c r="C772" s="413"/>
      <c r="D772" s="414"/>
      <c r="E772" s="414"/>
      <c r="F772" s="414"/>
      <c r="G772" s="414"/>
      <c r="H772" s="413"/>
      <c r="I772" s="413"/>
      <c r="J772" s="413"/>
      <c r="K772" s="413"/>
      <c r="L772" s="413"/>
      <c r="M772" s="413"/>
      <c r="N772" s="413"/>
      <c r="O772" s="413"/>
      <c r="P772" s="413"/>
      <c r="Q772" s="413"/>
      <c r="R772" s="413"/>
      <c r="S772" s="413"/>
      <c r="T772" s="413"/>
      <c r="U772" s="413"/>
      <c r="V772" s="413"/>
      <c r="W772" s="413"/>
      <c r="X772" s="413"/>
      <c r="Y772" s="413"/>
      <c r="Z772" s="413"/>
    </row>
    <row r="773" ht="12.0" customHeight="1">
      <c r="A773" s="413"/>
      <c r="B773" s="413"/>
      <c r="C773" s="413"/>
      <c r="D773" s="414"/>
      <c r="E773" s="414"/>
      <c r="F773" s="414"/>
      <c r="G773" s="414"/>
      <c r="H773" s="413"/>
      <c r="I773" s="413"/>
      <c r="J773" s="413"/>
      <c r="K773" s="413"/>
      <c r="L773" s="413"/>
      <c r="M773" s="413"/>
      <c r="N773" s="413"/>
      <c r="O773" s="413"/>
      <c r="P773" s="413"/>
      <c r="Q773" s="413"/>
      <c r="R773" s="413"/>
      <c r="S773" s="413"/>
      <c r="T773" s="413"/>
      <c r="U773" s="413"/>
      <c r="V773" s="413"/>
      <c r="W773" s="413"/>
      <c r="X773" s="413"/>
      <c r="Y773" s="413"/>
      <c r="Z773" s="413"/>
    </row>
    <row r="774" ht="12.0" customHeight="1">
      <c r="A774" s="413"/>
      <c r="B774" s="413"/>
      <c r="C774" s="413"/>
      <c r="D774" s="414"/>
      <c r="E774" s="414"/>
      <c r="F774" s="414"/>
      <c r="G774" s="414"/>
      <c r="H774" s="413"/>
      <c r="I774" s="413"/>
      <c r="J774" s="413"/>
      <c r="K774" s="413"/>
      <c r="L774" s="413"/>
      <c r="M774" s="413"/>
      <c r="N774" s="413"/>
      <c r="O774" s="413"/>
      <c r="P774" s="413"/>
      <c r="Q774" s="413"/>
      <c r="R774" s="413"/>
      <c r="S774" s="413"/>
      <c r="T774" s="413"/>
      <c r="U774" s="413"/>
      <c r="V774" s="413"/>
      <c r="W774" s="413"/>
      <c r="X774" s="413"/>
      <c r="Y774" s="413"/>
      <c r="Z774" s="413"/>
    </row>
    <row r="775" ht="12.0" customHeight="1">
      <c r="A775" s="413"/>
      <c r="B775" s="413"/>
      <c r="C775" s="413"/>
      <c r="D775" s="414"/>
      <c r="E775" s="414"/>
      <c r="F775" s="414"/>
      <c r="G775" s="414"/>
      <c r="H775" s="413"/>
      <c r="I775" s="413"/>
      <c r="J775" s="413"/>
      <c r="K775" s="413"/>
      <c r="L775" s="413"/>
      <c r="M775" s="413"/>
      <c r="N775" s="413"/>
      <c r="O775" s="413"/>
      <c r="P775" s="413"/>
      <c r="Q775" s="413"/>
      <c r="R775" s="413"/>
      <c r="S775" s="413"/>
      <c r="T775" s="413"/>
      <c r="U775" s="413"/>
      <c r="V775" s="413"/>
      <c r="W775" s="413"/>
      <c r="X775" s="413"/>
      <c r="Y775" s="413"/>
      <c r="Z775" s="413"/>
    </row>
    <row r="776" ht="12.0" customHeight="1">
      <c r="A776" s="413"/>
      <c r="B776" s="413"/>
      <c r="C776" s="413"/>
      <c r="D776" s="414"/>
      <c r="E776" s="414"/>
      <c r="F776" s="414"/>
      <c r="G776" s="414"/>
      <c r="H776" s="413"/>
      <c r="I776" s="413"/>
      <c r="J776" s="413"/>
      <c r="K776" s="413"/>
      <c r="L776" s="413"/>
      <c r="M776" s="413"/>
      <c r="N776" s="413"/>
      <c r="O776" s="413"/>
      <c r="P776" s="413"/>
      <c r="Q776" s="413"/>
      <c r="R776" s="413"/>
      <c r="S776" s="413"/>
      <c r="T776" s="413"/>
      <c r="U776" s="413"/>
      <c r="V776" s="413"/>
      <c r="W776" s="413"/>
      <c r="X776" s="413"/>
      <c r="Y776" s="413"/>
      <c r="Z776" s="413"/>
    </row>
    <row r="777" ht="12.0" customHeight="1">
      <c r="A777" s="413"/>
      <c r="B777" s="413"/>
      <c r="C777" s="413"/>
      <c r="D777" s="414"/>
      <c r="E777" s="414"/>
      <c r="F777" s="414"/>
      <c r="G777" s="414"/>
      <c r="H777" s="413"/>
      <c r="I777" s="413"/>
      <c r="J777" s="413"/>
      <c r="K777" s="413"/>
      <c r="L777" s="413"/>
      <c r="M777" s="413"/>
      <c r="N777" s="413"/>
      <c r="O777" s="413"/>
      <c r="P777" s="413"/>
      <c r="Q777" s="413"/>
      <c r="R777" s="413"/>
      <c r="S777" s="413"/>
      <c r="T777" s="413"/>
      <c r="U777" s="413"/>
      <c r="V777" s="413"/>
      <c r="W777" s="413"/>
      <c r="X777" s="413"/>
      <c r="Y777" s="413"/>
      <c r="Z777" s="413"/>
    </row>
    <row r="778" ht="12.0" customHeight="1">
      <c r="A778" s="413"/>
      <c r="B778" s="413"/>
      <c r="C778" s="413"/>
      <c r="D778" s="414"/>
      <c r="E778" s="414"/>
      <c r="F778" s="414"/>
      <c r="G778" s="414"/>
      <c r="H778" s="413"/>
      <c r="I778" s="413"/>
      <c r="J778" s="413"/>
      <c r="K778" s="413"/>
      <c r="L778" s="413"/>
      <c r="M778" s="413"/>
      <c r="N778" s="413"/>
      <c r="O778" s="413"/>
      <c r="P778" s="413"/>
      <c r="Q778" s="413"/>
      <c r="R778" s="413"/>
      <c r="S778" s="413"/>
      <c r="T778" s="413"/>
      <c r="U778" s="413"/>
      <c r="V778" s="413"/>
      <c r="W778" s="413"/>
      <c r="X778" s="413"/>
      <c r="Y778" s="413"/>
      <c r="Z778" s="413"/>
    </row>
    <row r="779" ht="12.0" customHeight="1">
      <c r="A779" s="413"/>
      <c r="B779" s="413"/>
      <c r="C779" s="413"/>
      <c r="D779" s="414"/>
      <c r="E779" s="414"/>
      <c r="F779" s="414"/>
      <c r="G779" s="414"/>
      <c r="H779" s="413"/>
      <c r="I779" s="413"/>
      <c r="J779" s="413"/>
      <c r="K779" s="413"/>
      <c r="L779" s="413"/>
      <c r="M779" s="413"/>
      <c r="N779" s="413"/>
      <c r="O779" s="413"/>
      <c r="P779" s="413"/>
      <c r="Q779" s="413"/>
      <c r="R779" s="413"/>
      <c r="S779" s="413"/>
      <c r="T779" s="413"/>
      <c r="U779" s="413"/>
      <c r="V779" s="413"/>
      <c r="W779" s="413"/>
      <c r="X779" s="413"/>
      <c r="Y779" s="413"/>
      <c r="Z779" s="413"/>
    </row>
    <row r="780" ht="12.0" customHeight="1">
      <c r="A780" s="413"/>
      <c r="B780" s="413"/>
      <c r="C780" s="413"/>
      <c r="D780" s="414"/>
      <c r="E780" s="414"/>
      <c r="F780" s="414"/>
      <c r="G780" s="414"/>
      <c r="H780" s="413"/>
      <c r="I780" s="413"/>
      <c r="J780" s="413"/>
      <c r="K780" s="413"/>
      <c r="L780" s="413"/>
      <c r="M780" s="413"/>
      <c r="N780" s="413"/>
      <c r="O780" s="413"/>
      <c r="P780" s="413"/>
      <c r="Q780" s="413"/>
      <c r="R780" s="413"/>
      <c r="S780" s="413"/>
      <c r="T780" s="413"/>
      <c r="U780" s="413"/>
      <c r="V780" s="413"/>
      <c r="W780" s="413"/>
      <c r="X780" s="413"/>
      <c r="Y780" s="413"/>
      <c r="Z780" s="413"/>
    </row>
    <row r="781" ht="12.0" customHeight="1">
      <c r="A781" s="413"/>
      <c r="B781" s="413"/>
      <c r="C781" s="413"/>
      <c r="D781" s="414"/>
      <c r="E781" s="414"/>
      <c r="F781" s="414"/>
      <c r="G781" s="414"/>
      <c r="H781" s="413"/>
      <c r="I781" s="413"/>
      <c r="J781" s="413"/>
      <c r="K781" s="413"/>
      <c r="L781" s="413"/>
      <c r="M781" s="413"/>
      <c r="N781" s="413"/>
      <c r="O781" s="413"/>
      <c r="P781" s="413"/>
      <c r="Q781" s="413"/>
      <c r="R781" s="413"/>
      <c r="S781" s="413"/>
      <c r="T781" s="413"/>
      <c r="U781" s="413"/>
      <c r="V781" s="413"/>
      <c r="W781" s="413"/>
      <c r="X781" s="413"/>
      <c r="Y781" s="413"/>
      <c r="Z781" s="413"/>
    </row>
    <row r="782" ht="12.0" customHeight="1">
      <c r="A782" s="413"/>
      <c r="B782" s="413"/>
      <c r="C782" s="413"/>
      <c r="D782" s="414"/>
      <c r="E782" s="414"/>
      <c r="F782" s="414"/>
      <c r="G782" s="414"/>
      <c r="H782" s="413"/>
      <c r="I782" s="413"/>
      <c r="J782" s="413"/>
      <c r="K782" s="413"/>
      <c r="L782" s="413"/>
      <c r="M782" s="413"/>
      <c r="N782" s="413"/>
      <c r="O782" s="413"/>
      <c r="P782" s="413"/>
      <c r="Q782" s="413"/>
      <c r="R782" s="413"/>
      <c r="S782" s="413"/>
      <c r="T782" s="413"/>
      <c r="U782" s="413"/>
      <c r="V782" s="413"/>
      <c r="W782" s="413"/>
      <c r="X782" s="413"/>
      <c r="Y782" s="413"/>
      <c r="Z782" s="413"/>
    </row>
    <row r="783" ht="12.0" customHeight="1">
      <c r="A783" s="413"/>
      <c r="B783" s="413"/>
      <c r="C783" s="413"/>
      <c r="D783" s="414"/>
      <c r="E783" s="414"/>
      <c r="F783" s="414"/>
      <c r="G783" s="414"/>
      <c r="H783" s="413"/>
      <c r="I783" s="413"/>
      <c r="J783" s="413"/>
      <c r="K783" s="413"/>
      <c r="L783" s="413"/>
      <c r="M783" s="413"/>
      <c r="N783" s="413"/>
      <c r="O783" s="413"/>
      <c r="P783" s="413"/>
      <c r="Q783" s="413"/>
      <c r="R783" s="413"/>
      <c r="S783" s="413"/>
      <c r="T783" s="413"/>
      <c r="U783" s="413"/>
      <c r="V783" s="413"/>
      <c r="W783" s="413"/>
      <c r="X783" s="413"/>
      <c r="Y783" s="413"/>
      <c r="Z783" s="413"/>
    </row>
    <row r="784" ht="12.0" customHeight="1">
      <c r="A784" s="413"/>
      <c r="B784" s="413"/>
      <c r="C784" s="413"/>
      <c r="D784" s="414"/>
      <c r="E784" s="414"/>
      <c r="F784" s="414"/>
      <c r="G784" s="414"/>
      <c r="H784" s="413"/>
      <c r="I784" s="413"/>
      <c r="J784" s="413"/>
      <c r="K784" s="413"/>
      <c r="L784" s="413"/>
      <c r="M784" s="413"/>
      <c r="N784" s="413"/>
      <c r="O784" s="413"/>
      <c r="P784" s="413"/>
      <c r="Q784" s="413"/>
      <c r="R784" s="413"/>
      <c r="S784" s="413"/>
      <c r="T784" s="413"/>
      <c r="U784" s="413"/>
      <c r="V784" s="413"/>
      <c r="W784" s="413"/>
      <c r="X784" s="413"/>
      <c r="Y784" s="413"/>
      <c r="Z784" s="413"/>
    </row>
    <row r="785" ht="12.0" customHeight="1">
      <c r="A785" s="413"/>
      <c r="B785" s="413"/>
      <c r="C785" s="413"/>
      <c r="D785" s="414"/>
      <c r="E785" s="414"/>
      <c r="F785" s="414"/>
      <c r="G785" s="414"/>
      <c r="H785" s="413"/>
      <c r="I785" s="413"/>
      <c r="J785" s="413"/>
      <c r="K785" s="413"/>
      <c r="L785" s="413"/>
      <c r="M785" s="413"/>
      <c r="N785" s="413"/>
      <c r="O785" s="413"/>
      <c r="P785" s="413"/>
      <c r="Q785" s="413"/>
      <c r="R785" s="413"/>
      <c r="S785" s="413"/>
      <c r="T785" s="413"/>
      <c r="U785" s="413"/>
      <c r="V785" s="413"/>
      <c r="W785" s="413"/>
      <c r="X785" s="413"/>
      <c r="Y785" s="413"/>
      <c r="Z785" s="413"/>
    </row>
    <row r="786" ht="12.0" customHeight="1">
      <c r="A786" s="413"/>
      <c r="B786" s="413"/>
      <c r="C786" s="413"/>
      <c r="D786" s="414"/>
      <c r="E786" s="414"/>
      <c r="F786" s="414"/>
      <c r="G786" s="414"/>
      <c r="H786" s="413"/>
      <c r="I786" s="413"/>
      <c r="J786" s="413"/>
      <c r="K786" s="413"/>
      <c r="L786" s="413"/>
      <c r="M786" s="413"/>
      <c r="N786" s="413"/>
      <c r="O786" s="413"/>
      <c r="P786" s="413"/>
      <c r="Q786" s="413"/>
      <c r="R786" s="413"/>
      <c r="S786" s="413"/>
      <c r="T786" s="413"/>
      <c r="U786" s="413"/>
      <c r="V786" s="413"/>
      <c r="W786" s="413"/>
      <c r="X786" s="413"/>
      <c r="Y786" s="413"/>
      <c r="Z786" s="413"/>
    </row>
    <row r="787" ht="12.0" customHeight="1">
      <c r="A787" s="413"/>
      <c r="B787" s="413"/>
      <c r="C787" s="413"/>
      <c r="D787" s="414"/>
      <c r="E787" s="414"/>
      <c r="F787" s="414"/>
      <c r="G787" s="414"/>
      <c r="H787" s="413"/>
      <c r="I787" s="413"/>
      <c r="J787" s="413"/>
      <c r="K787" s="413"/>
      <c r="L787" s="413"/>
      <c r="M787" s="413"/>
      <c r="N787" s="413"/>
      <c r="O787" s="413"/>
      <c r="P787" s="413"/>
      <c r="Q787" s="413"/>
      <c r="R787" s="413"/>
      <c r="S787" s="413"/>
      <c r="T787" s="413"/>
      <c r="U787" s="413"/>
      <c r="V787" s="413"/>
      <c r="W787" s="413"/>
      <c r="X787" s="413"/>
      <c r="Y787" s="413"/>
      <c r="Z787" s="413"/>
    </row>
    <row r="788" ht="12.0" customHeight="1">
      <c r="A788" s="413"/>
      <c r="B788" s="413"/>
      <c r="C788" s="413"/>
      <c r="D788" s="414"/>
      <c r="E788" s="414"/>
      <c r="F788" s="414"/>
      <c r="G788" s="414"/>
      <c r="H788" s="413"/>
      <c r="I788" s="413"/>
      <c r="J788" s="413"/>
      <c r="K788" s="413"/>
      <c r="L788" s="413"/>
      <c r="M788" s="413"/>
      <c r="N788" s="413"/>
      <c r="O788" s="413"/>
      <c r="P788" s="413"/>
      <c r="Q788" s="413"/>
      <c r="R788" s="413"/>
      <c r="S788" s="413"/>
      <c r="T788" s="413"/>
      <c r="U788" s="413"/>
      <c r="V788" s="413"/>
      <c r="W788" s="413"/>
      <c r="X788" s="413"/>
      <c r="Y788" s="413"/>
      <c r="Z788" s="413"/>
    </row>
    <row r="789" ht="12.0" customHeight="1">
      <c r="A789" s="413"/>
      <c r="B789" s="413"/>
      <c r="C789" s="413"/>
      <c r="D789" s="414"/>
      <c r="E789" s="414"/>
      <c r="F789" s="414"/>
      <c r="G789" s="414"/>
      <c r="H789" s="413"/>
      <c r="I789" s="413"/>
      <c r="J789" s="413"/>
      <c r="K789" s="413"/>
      <c r="L789" s="413"/>
      <c r="M789" s="413"/>
      <c r="N789" s="413"/>
      <c r="O789" s="413"/>
      <c r="P789" s="413"/>
      <c r="Q789" s="413"/>
      <c r="R789" s="413"/>
      <c r="S789" s="413"/>
      <c r="T789" s="413"/>
      <c r="U789" s="413"/>
      <c r="V789" s="413"/>
      <c r="W789" s="413"/>
      <c r="X789" s="413"/>
      <c r="Y789" s="413"/>
      <c r="Z789" s="413"/>
    </row>
    <row r="790" ht="12.0" customHeight="1">
      <c r="A790" s="413"/>
      <c r="B790" s="413"/>
      <c r="C790" s="413"/>
      <c r="D790" s="414"/>
      <c r="E790" s="414"/>
      <c r="F790" s="414"/>
      <c r="G790" s="414"/>
      <c r="H790" s="413"/>
      <c r="I790" s="413"/>
      <c r="J790" s="413"/>
      <c r="K790" s="413"/>
      <c r="L790" s="413"/>
      <c r="M790" s="413"/>
      <c r="N790" s="413"/>
      <c r="O790" s="413"/>
      <c r="P790" s="413"/>
      <c r="Q790" s="413"/>
      <c r="R790" s="413"/>
      <c r="S790" s="413"/>
      <c r="T790" s="413"/>
      <c r="U790" s="413"/>
      <c r="V790" s="413"/>
      <c r="W790" s="413"/>
      <c r="X790" s="413"/>
      <c r="Y790" s="413"/>
      <c r="Z790" s="413"/>
    </row>
    <row r="791" ht="12.0" customHeight="1">
      <c r="A791" s="413"/>
      <c r="B791" s="413"/>
      <c r="C791" s="413"/>
      <c r="D791" s="414"/>
      <c r="E791" s="414"/>
      <c r="F791" s="414"/>
      <c r="G791" s="414"/>
      <c r="H791" s="413"/>
      <c r="I791" s="413"/>
      <c r="J791" s="413"/>
      <c r="K791" s="413"/>
      <c r="L791" s="413"/>
      <c r="M791" s="413"/>
      <c r="N791" s="413"/>
      <c r="O791" s="413"/>
      <c r="P791" s="413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</row>
    <row r="792" ht="12.0" customHeight="1">
      <c r="A792" s="413"/>
      <c r="B792" s="413"/>
      <c r="C792" s="413"/>
      <c r="D792" s="414"/>
      <c r="E792" s="414"/>
      <c r="F792" s="414"/>
      <c r="G792" s="414"/>
      <c r="H792" s="413"/>
      <c r="I792" s="413"/>
      <c r="J792" s="413"/>
      <c r="K792" s="413"/>
      <c r="L792" s="413"/>
      <c r="M792" s="413"/>
      <c r="N792" s="413"/>
      <c r="O792" s="413"/>
      <c r="P792" s="413"/>
      <c r="Q792" s="413"/>
      <c r="R792" s="413"/>
      <c r="S792" s="413"/>
      <c r="T792" s="413"/>
      <c r="U792" s="413"/>
      <c r="V792" s="413"/>
      <c r="W792" s="413"/>
      <c r="X792" s="413"/>
      <c r="Y792" s="413"/>
      <c r="Z792" s="413"/>
    </row>
    <row r="793" ht="12.0" customHeight="1">
      <c r="A793" s="413"/>
      <c r="B793" s="413"/>
      <c r="C793" s="413"/>
      <c r="D793" s="414"/>
      <c r="E793" s="414"/>
      <c r="F793" s="414"/>
      <c r="G793" s="414"/>
      <c r="H793" s="413"/>
      <c r="I793" s="413"/>
      <c r="J793" s="413"/>
      <c r="K793" s="413"/>
      <c r="L793" s="413"/>
      <c r="M793" s="413"/>
      <c r="N793" s="413"/>
      <c r="O793" s="413"/>
      <c r="P793" s="413"/>
      <c r="Q793" s="413"/>
      <c r="R793" s="413"/>
      <c r="S793" s="413"/>
      <c r="T793" s="413"/>
      <c r="U793" s="413"/>
      <c r="V793" s="413"/>
      <c r="W793" s="413"/>
      <c r="X793" s="413"/>
      <c r="Y793" s="413"/>
      <c r="Z793" s="413"/>
    </row>
    <row r="794" ht="12.0" customHeight="1">
      <c r="A794" s="413"/>
      <c r="B794" s="413"/>
      <c r="C794" s="413"/>
      <c r="D794" s="414"/>
      <c r="E794" s="414"/>
      <c r="F794" s="414"/>
      <c r="G794" s="414"/>
      <c r="H794" s="413"/>
      <c r="I794" s="413"/>
      <c r="J794" s="413"/>
      <c r="K794" s="413"/>
      <c r="L794" s="413"/>
      <c r="M794" s="413"/>
      <c r="N794" s="413"/>
      <c r="O794" s="413"/>
      <c r="P794" s="413"/>
      <c r="Q794" s="413"/>
      <c r="R794" s="413"/>
      <c r="S794" s="413"/>
      <c r="T794" s="413"/>
      <c r="U794" s="413"/>
      <c r="V794" s="413"/>
      <c r="W794" s="413"/>
      <c r="X794" s="413"/>
      <c r="Y794" s="413"/>
      <c r="Z794" s="413"/>
    </row>
    <row r="795" ht="12.0" customHeight="1">
      <c r="A795" s="413"/>
      <c r="B795" s="413"/>
      <c r="C795" s="413"/>
      <c r="D795" s="414"/>
      <c r="E795" s="414"/>
      <c r="F795" s="414"/>
      <c r="G795" s="414"/>
      <c r="H795" s="413"/>
      <c r="I795" s="413"/>
      <c r="J795" s="413"/>
      <c r="K795" s="413"/>
      <c r="L795" s="413"/>
      <c r="M795" s="413"/>
      <c r="N795" s="413"/>
      <c r="O795" s="413"/>
      <c r="P795" s="413"/>
      <c r="Q795" s="413"/>
      <c r="R795" s="413"/>
      <c r="S795" s="413"/>
      <c r="T795" s="413"/>
      <c r="U795" s="413"/>
      <c r="V795" s="413"/>
      <c r="W795" s="413"/>
      <c r="X795" s="413"/>
      <c r="Y795" s="413"/>
      <c r="Z795" s="413"/>
    </row>
    <row r="796" ht="12.0" customHeight="1">
      <c r="A796" s="413"/>
      <c r="B796" s="413"/>
      <c r="C796" s="413"/>
      <c r="D796" s="414"/>
      <c r="E796" s="414"/>
      <c r="F796" s="414"/>
      <c r="G796" s="414"/>
      <c r="H796" s="413"/>
      <c r="I796" s="413"/>
      <c r="J796" s="413"/>
      <c r="K796" s="413"/>
      <c r="L796" s="413"/>
      <c r="M796" s="413"/>
      <c r="N796" s="413"/>
      <c r="O796" s="413"/>
      <c r="P796" s="413"/>
      <c r="Q796" s="413"/>
      <c r="R796" s="413"/>
      <c r="S796" s="413"/>
      <c r="T796" s="413"/>
      <c r="U796" s="413"/>
      <c r="V796" s="413"/>
      <c r="W796" s="413"/>
      <c r="X796" s="413"/>
      <c r="Y796" s="413"/>
      <c r="Z796" s="413"/>
    </row>
    <row r="797" ht="12.0" customHeight="1">
      <c r="A797" s="413"/>
      <c r="B797" s="413"/>
      <c r="C797" s="413"/>
      <c r="D797" s="414"/>
      <c r="E797" s="414"/>
      <c r="F797" s="414"/>
      <c r="G797" s="414"/>
      <c r="H797" s="413"/>
      <c r="I797" s="413"/>
      <c r="J797" s="413"/>
      <c r="K797" s="413"/>
      <c r="L797" s="413"/>
      <c r="M797" s="413"/>
      <c r="N797" s="413"/>
      <c r="O797" s="413"/>
      <c r="P797" s="413"/>
      <c r="Q797" s="413"/>
      <c r="R797" s="413"/>
      <c r="S797" s="413"/>
      <c r="T797" s="413"/>
      <c r="U797" s="413"/>
      <c r="V797" s="413"/>
      <c r="W797" s="413"/>
      <c r="X797" s="413"/>
      <c r="Y797" s="413"/>
      <c r="Z797" s="413"/>
    </row>
    <row r="798" ht="12.0" customHeight="1">
      <c r="A798" s="413"/>
      <c r="B798" s="413"/>
      <c r="C798" s="413"/>
      <c r="D798" s="414"/>
      <c r="E798" s="414"/>
      <c r="F798" s="414"/>
      <c r="G798" s="414"/>
      <c r="H798" s="413"/>
      <c r="I798" s="413"/>
      <c r="J798" s="413"/>
      <c r="K798" s="413"/>
      <c r="L798" s="413"/>
      <c r="M798" s="413"/>
      <c r="N798" s="413"/>
      <c r="O798" s="413"/>
      <c r="P798" s="413"/>
      <c r="Q798" s="413"/>
      <c r="R798" s="413"/>
      <c r="S798" s="413"/>
      <c r="T798" s="413"/>
      <c r="U798" s="413"/>
      <c r="V798" s="413"/>
      <c r="W798" s="413"/>
      <c r="X798" s="413"/>
      <c r="Y798" s="413"/>
      <c r="Z798" s="413"/>
    </row>
    <row r="799" ht="12.0" customHeight="1">
      <c r="A799" s="413"/>
      <c r="B799" s="413"/>
      <c r="C799" s="413"/>
      <c r="D799" s="414"/>
      <c r="E799" s="414"/>
      <c r="F799" s="414"/>
      <c r="G799" s="414"/>
      <c r="H799" s="413"/>
      <c r="I799" s="413"/>
      <c r="J799" s="413"/>
      <c r="K799" s="413"/>
      <c r="L799" s="413"/>
      <c r="M799" s="413"/>
      <c r="N799" s="413"/>
      <c r="O799" s="413"/>
      <c r="P799" s="413"/>
      <c r="Q799" s="413"/>
      <c r="R799" s="413"/>
      <c r="S799" s="413"/>
      <c r="T799" s="413"/>
      <c r="U799" s="413"/>
      <c r="V799" s="413"/>
      <c r="W799" s="413"/>
      <c r="X799" s="413"/>
      <c r="Y799" s="413"/>
      <c r="Z799" s="413"/>
    </row>
    <row r="800" ht="12.0" customHeight="1">
      <c r="A800" s="413"/>
      <c r="B800" s="413"/>
      <c r="C800" s="413"/>
      <c r="D800" s="414"/>
      <c r="E800" s="414"/>
      <c r="F800" s="414"/>
      <c r="G800" s="414"/>
      <c r="H800" s="413"/>
      <c r="I800" s="413"/>
      <c r="J800" s="413"/>
      <c r="K800" s="413"/>
      <c r="L800" s="413"/>
      <c r="M800" s="413"/>
      <c r="N800" s="413"/>
      <c r="O800" s="413"/>
      <c r="P800" s="413"/>
      <c r="Q800" s="413"/>
      <c r="R800" s="413"/>
      <c r="S800" s="413"/>
      <c r="T800" s="413"/>
      <c r="U800" s="413"/>
      <c r="V800" s="413"/>
      <c r="W800" s="413"/>
      <c r="X800" s="413"/>
      <c r="Y800" s="413"/>
      <c r="Z800" s="413"/>
    </row>
    <row r="801" ht="12.0" customHeight="1">
      <c r="A801" s="413"/>
      <c r="B801" s="413"/>
      <c r="C801" s="413"/>
      <c r="D801" s="414"/>
      <c r="E801" s="414"/>
      <c r="F801" s="414"/>
      <c r="G801" s="414"/>
      <c r="H801" s="413"/>
      <c r="I801" s="413"/>
      <c r="J801" s="413"/>
      <c r="K801" s="413"/>
      <c r="L801" s="413"/>
      <c r="M801" s="413"/>
      <c r="N801" s="413"/>
      <c r="O801" s="413"/>
      <c r="P801" s="413"/>
      <c r="Q801" s="413"/>
      <c r="R801" s="413"/>
      <c r="S801" s="413"/>
      <c r="T801" s="413"/>
      <c r="U801" s="413"/>
      <c r="V801" s="413"/>
      <c r="W801" s="413"/>
      <c r="X801" s="413"/>
      <c r="Y801" s="413"/>
      <c r="Z801" s="413"/>
    </row>
    <row r="802" ht="12.0" customHeight="1">
      <c r="A802" s="413"/>
      <c r="B802" s="413"/>
      <c r="C802" s="413"/>
      <c r="D802" s="414"/>
      <c r="E802" s="414"/>
      <c r="F802" s="414"/>
      <c r="G802" s="414"/>
      <c r="H802" s="413"/>
      <c r="I802" s="413"/>
      <c r="J802" s="413"/>
      <c r="K802" s="413"/>
      <c r="L802" s="413"/>
      <c r="M802" s="413"/>
      <c r="N802" s="413"/>
      <c r="O802" s="413"/>
      <c r="P802" s="413"/>
      <c r="Q802" s="413"/>
      <c r="R802" s="413"/>
      <c r="S802" s="413"/>
      <c r="T802" s="413"/>
      <c r="U802" s="413"/>
      <c r="V802" s="413"/>
      <c r="W802" s="413"/>
      <c r="X802" s="413"/>
      <c r="Y802" s="413"/>
      <c r="Z802" s="413"/>
    </row>
    <row r="803" ht="12.0" customHeight="1">
      <c r="A803" s="413"/>
      <c r="B803" s="413"/>
      <c r="C803" s="413"/>
      <c r="D803" s="414"/>
      <c r="E803" s="414"/>
      <c r="F803" s="414"/>
      <c r="G803" s="414"/>
      <c r="H803" s="413"/>
      <c r="I803" s="413"/>
      <c r="J803" s="413"/>
      <c r="K803" s="413"/>
      <c r="L803" s="413"/>
      <c r="M803" s="413"/>
      <c r="N803" s="413"/>
      <c r="O803" s="413"/>
      <c r="P803" s="413"/>
      <c r="Q803" s="413"/>
      <c r="R803" s="413"/>
      <c r="S803" s="413"/>
      <c r="T803" s="413"/>
      <c r="U803" s="413"/>
      <c r="V803" s="413"/>
      <c r="W803" s="413"/>
      <c r="X803" s="413"/>
      <c r="Y803" s="413"/>
      <c r="Z803" s="413"/>
    </row>
    <row r="804" ht="12.0" customHeight="1">
      <c r="A804" s="413"/>
      <c r="B804" s="413"/>
      <c r="C804" s="413"/>
      <c r="D804" s="414"/>
      <c r="E804" s="414"/>
      <c r="F804" s="414"/>
      <c r="G804" s="414"/>
      <c r="H804" s="413"/>
      <c r="I804" s="413"/>
      <c r="J804" s="413"/>
      <c r="K804" s="413"/>
      <c r="L804" s="413"/>
      <c r="M804" s="413"/>
      <c r="N804" s="413"/>
      <c r="O804" s="413"/>
      <c r="P804" s="413"/>
      <c r="Q804" s="413"/>
      <c r="R804" s="413"/>
      <c r="S804" s="413"/>
      <c r="T804" s="413"/>
      <c r="U804" s="413"/>
      <c r="V804" s="413"/>
      <c r="W804" s="413"/>
      <c r="X804" s="413"/>
      <c r="Y804" s="413"/>
      <c r="Z804" s="413"/>
    </row>
    <row r="805" ht="12.0" customHeight="1">
      <c r="A805" s="413"/>
      <c r="B805" s="413"/>
      <c r="C805" s="413"/>
      <c r="D805" s="414"/>
      <c r="E805" s="414"/>
      <c r="F805" s="414"/>
      <c r="G805" s="414"/>
      <c r="H805" s="413"/>
      <c r="I805" s="413"/>
      <c r="J805" s="413"/>
      <c r="K805" s="413"/>
      <c r="L805" s="413"/>
      <c r="M805" s="413"/>
      <c r="N805" s="413"/>
      <c r="O805" s="413"/>
      <c r="P805" s="413"/>
      <c r="Q805" s="413"/>
      <c r="R805" s="413"/>
      <c r="S805" s="413"/>
      <c r="T805" s="413"/>
      <c r="U805" s="413"/>
      <c r="V805" s="413"/>
      <c r="W805" s="413"/>
      <c r="X805" s="413"/>
      <c r="Y805" s="413"/>
      <c r="Z805" s="413"/>
    </row>
    <row r="806" ht="12.0" customHeight="1">
      <c r="A806" s="413"/>
      <c r="B806" s="413"/>
      <c r="C806" s="413"/>
      <c r="D806" s="414"/>
      <c r="E806" s="414"/>
      <c r="F806" s="414"/>
      <c r="G806" s="414"/>
      <c r="H806" s="413"/>
      <c r="I806" s="413"/>
      <c r="J806" s="413"/>
      <c r="K806" s="413"/>
      <c r="L806" s="413"/>
      <c r="M806" s="413"/>
      <c r="N806" s="413"/>
      <c r="O806" s="413"/>
      <c r="P806" s="413"/>
      <c r="Q806" s="413"/>
      <c r="R806" s="413"/>
      <c r="S806" s="413"/>
      <c r="T806" s="413"/>
      <c r="U806" s="413"/>
      <c r="V806" s="413"/>
      <c r="W806" s="413"/>
      <c r="X806" s="413"/>
      <c r="Y806" s="413"/>
      <c r="Z806" s="413"/>
    </row>
    <row r="807" ht="12.0" customHeight="1">
      <c r="A807" s="413"/>
      <c r="B807" s="413"/>
      <c r="C807" s="413"/>
      <c r="D807" s="414"/>
      <c r="E807" s="414"/>
      <c r="F807" s="414"/>
      <c r="G807" s="414"/>
      <c r="H807" s="413"/>
      <c r="I807" s="413"/>
      <c r="J807" s="413"/>
      <c r="K807" s="413"/>
      <c r="L807" s="413"/>
      <c r="M807" s="413"/>
      <c r="N807" s="413"/>
      <c r="O807" s="413"/>
      <c r="P807" s="413"/>
      <c r="Q807" s="413"/>
      <c r="R807" s="413"/>
      <c r="S807" s="413"/>
      <c r="T807" s="413"/>
      <c r="U807" s="413"/>
      <c r="V807" s="413"/>
      <c r="W807" s="413"/>
      <c r="X807" s="413"/>
      <c r="Y807" s="413"/>
      <c r="Z807" s="413"/>
    </row>
    <row r="808" ht="12.0" customHeight="1">
      <c r="A808" s="413"/>
      <c r="B808" s="413"/>
      <c r="C808" s="413"/>
      <c r="D808" s="414"/>
      <c r="E808" s="414"/>
      <c r="F808" s="414"/>
      <c r="G808" s="414"/>
      <c r="H808" s="413"/>
      <c r="I808" s="413"/>
      <c r="J808" s="413"/>
      <c r="K808" s="413"/>
      <c r="L808" s="413"/>
      <c r="M808" s="413"/>
      <c r="N808" s="413"/>
      <c r="O808" s="413"/>
      <c r="P808" s="413"/>
      <c r="Q808" s="413"/>
      <c r="R808" s="413"/>
      <c r="S808" s="413"/>
      <c r="T808" s="413"/>
      <c r="U808" s="413"/>
      <c r="V808" s="413"/>
      <c r="W808" s="413"/>
      <c r="X808" s="413"/>
      <c r="Y808" s="413"/>
      <c r="Z808" s="413"/>
    </row>
    <row r="809" ht="12.0" customHeight="1">
      <c r="A809" s="413"/>
      <c r="B809" s="413"/>
      <c r="C809" s="413"/>
      <c r="D809" s="414"/>
      <c r="E809" s="414"/>
      <c r="F809" s="414"/>
      <c r="G809" s="414"/>
      <c r="H809" s="413"/>
      <c r="I809" s="413"/>
      <c r="J809" s="413"/>
      <c r="K809" s="413"/>
      <c r="L809" s="413"/>
      <c r="M809" s="413"/>
      <c r="N809" s="413"/>
      <c r="O809" s="413"/>
      <c r="P809" s="413"/>
      <c r="Q809" s="413"/>
      <c r="R809" s="413"/>
      <c r="S809" s="413"/>
      <c r="T809" s="413"/>
      <c r="U809" s="413"/>
      <c r="V809" s="413"/>
      <c r="W809" s="413"/>
      <c r="X809" s="413"/>
      <c r="Y809" s="413"/>
      <c r="Z809" s="413"/>
    </row>
    <row r="810" ht="12.0" customHeight="1">
      <c r="A810" s="413"/>
      <c r="B810" s="413"/>
      <c r="C810" s="413"/>
      <c r="D810" s="414"/>
      <c r="E810" s="414"/>
      <c r="F810" s="414"/>
      <c r="G810" s="414"/>
      <c r="H810" s="413"/>
      <c r="I810" s="413"/>
      <c r="J810" s="413"/>
      <c r="K810" s="413"/>
      <c r="L810" s="413"/>
      <c r="M810" s="413"/>
      <c r="N810" s="413"/>
      <c r="O810" s="413"/>
      <c r="P810" s="413"/>
      <c r="Q810" s="413"/>
      <c r="R810" s="413"/>
      <c r="S810" s="413"/>
      <c r="T810" s="413"/>
      <c r="U810" s="413"/>
      <c r="V810" s="413"/>
      <c r="W810" s="413"/>
      <c r="X810" s="413"/>
      <c r="Y810" s="413"/>
      <c r="Z810" s="413"/>
    </row>
    <row r="811" ht="12.0" customHeight="1">
      <c r="A811" s="413"/>
      <c r="B811" s="413"/>
      <c r="C811" s="413"/>
      <c r="D811" s="414"/>
      <c r="E811" s="414"/>
      <c r="F811" s="414"/>
      <c r="G811" s="414"/>
      <c r="H811" s="413"/>
      <c r="I811" s="413"/>
      <c r="J811" s="413"/>
      <c r="K811" s="413"/>
      <c r="L811" s="413"/>
      <c r="M811" s="413"/>
      <c r="N811" s="413"/>
      <c r="O811" s="413"/>
      <c r="P811" s="413"/>
      <c r="Q811" s="413"/>
      <c r="R811" s="413"/>
      <c r="S811" s="413"/>
      <c r="T811" s="413"/>
      <c r="U811" s="413"/>
      <c r="V811" s="413"/>
      <c r="W811" s="413"/>
      <c r="X811" s="413"/>
      <c r="Y811" s="413"/>
      <c r="Z811" s="413"/>
    </row>
    <row r="812" ht="12.0" customHeight="1">
      <c r="A812" s="413"/>
      <c r="B812" s="413"/>
      <c r="C812" s="413"/>
      <c r="D812" s="414"/>
      <c r="E812" s="414"/>
      <c r="F812" s="414"/>
      <c r="G812" s="414"/>
      <c r="H812" s="413"/>
      <c r="I812" s="413"/>
      <c r="J812" s="413"/>
      <c r="K812" s="413"/>
      <c r="L812" s="413"/>
      <c r="M812" s="413"/>
      <c r="N812" s="413"/>
      <c r="O812" s="413"/>
      <c r="P812" s="413"/>
      <c r="Q812" s="413"/>
      <c r="R812" s="413"/>
      <c r="S812" s="413"/>
      <c r="T812" s="413"/>
      <c r="U812" s="413"/>
      <c r="V812" s="413"/>
      <c r="W812" s="413"/>
      <c r="X812" s="413"/>
      <c r="Y812" s="413"/>
      <c r="Z812" s="413"/>
    </row>
    <row r="813" ht="12.0" customHeight="1">
      <c r="A813" s="413"/>
      <c r="B813" s="413"/>
      <c r="C813" s="413"/>
      <c r="D813" s="414"/>
      <c r="E813" s="414"/>
      <c r="F813" s="414"/>
      <c r="G813" s="414"/>
      <c r="H813" s="413"/>
      <c r="I813" s="413"/>
      <c r="J813" s="413"/>
      <c r="K813" s="413"/>
      <c r="L813" s="413"/>
      <c r="M813" s="413"/>
      <c r="N813" s="413"/>
      <c r="O813" s="413"/>
      <c r="P813" s="413"/>
      <c r="Q813" s="413"/>
      <c r="R813" s="413"/>
      <c r="S813" s="413"/>
      <c r="T813" s="413"/>
      <c r="U813" s="413"/>
      <c r="V813" s="413"/>
      <c r="W813" s="413"/>
      <c r="X813" s="413"/>
      <c r="Y813" s="413"/>
      <c r="Z813" s="413"/>
    </row>
    <row r="814" ht="12.0" customHeight="1">
      <c r="A814" s="413"/>
      <c r="B814" s="413"/>
      <c r="C814" s="413"/>
      <c r="D814" s="414"/>
      <c r="E814" s="414"/>
      <c r="F814" s="414"/>
      <c r="G814" s="414"/>
      <c r="H814" s="413"/>
      <c r="I814" s="413"/>
      <c r="J814" s="413"/>
      <c r="K814" s="413"/>
      <c r="L814" s="413"/>
      <c r="M814" s="413"/>
      <c r="N814" s="413"/>
      <c r="O814" s="413"/>
      <c r="P814" s="413"/>
      <c r="Q814" s="413"/>
      <c r="R814" s="413"/>
      <c r="S814" s="413"/>
      <c r="T814" s="413"/>
      <c r="U814" s="413"/>
      <c r="V814" s="413"/>
      <c r="W814" s="413"/>
      <c r="X814" s="413"/>
      <c r="Y814" s="413"/>
      <c r="Z814" s="413"/>
    </row>
    <row r="815" ht="12.0" customHeight="1">
      <c r="A815" s="413"/>
      <c r="B815" s="413"/>
      <c r="C815" s="413"/>
      <c r="D815" s="414"/>
      <c r="E815" s="414"/>
      <c r="F815" s="414"/>
      <c r="G815" s="414"/>
      <c r="H815" s="413"/>
      <c r="I815" s="413"/>
      <c r="J815" s="413"/>
      <c r="K815" s="413"/>
      <c r="L815" s="413"/>
      <c r="M815" s="413"/>
      <c r="N815" s="413"/>
      <c r="O815" s="413"/>
      <c r="P815" s="413"/>
      <c r="Q815" s="413"/>
      <c r="R815" s="413"/>
      <c r="S815" s="413"/>
      <c r="T815" s="413"/>
      <c r="U815" s="413"/>
      <c r="V815" s="413"/>
      <c r="W815" s="413"/>
      <c r="X815" s="413"/>
      <c r="Y815" s="413"/>
      <c r="Z815" s="413"/>
    </row>
    <row r="816" ht="12.0" customHeight="1">
      <c r="A816" s="413"/>
      <c r="B816" s="413"/>
      <c r="C816" s="413"/>
      <c r="D816" s="414"/>
      <c r="E816" s="414"/>
      <c r="F816" s="414"/>
      <c r="G816" s="414"/>
      <c r="H816" s="413"/>
      <c r="I816" s="413"/>
      <c r="J816" s="413"/>
      <c r="K816" s="413"/>
      <c r="L816" s="413"/>
      <c r="M816" s="413"/>
      <c r="N816" s="413"/>
      <c r="O816" s="413"/>
      <c r="P816" s="413"/>
      <c r="Q816" s="413"/>
      <c r="R816" s="413"/>
      <c r="S816" s="413"/>
      <c r="T816" s="413"/>
      <c r="U816" s="413"/>
      <c r="V816" s="413"/>
      <c r="W816" s="413"/>
      <c r="X816" s="413"/>
      <c r="Y816" s="413"/>
      <c r="Z816" s="413"/>
    </row>
    <row r="817" ht="12.0" customHeight="1">
      <c r="A817" s="413"/>
      <c r="B817" s="413"/>
      <c r="C817" s="413"/>
      <c r="D817" s="414"/>
      <c r="E817" s="414"/>
      <c r="F817" s="414"/>
      <c r="G817" s="414"/>
      <c r="H817" s="413"/>
      <c r="I817" s="413"/>
      <c r="J817" s="413"/>
      <c r="K817" s="413"/>
      <c r="L817" s="413"/>
      <c r="M817" s="413"/>
      <c r="N817" s="413"/>
      <c r="O817" s="413"/>
      <c r="P817" s="413"/>
      <c r="Q817" s="413"/>
      <c r="R817" s="413"/>
      <c r="S817" s="413"/>
      <c r="T817" s="413"/>
      <c r="U817" s="413"/>
      <c r="V817" s="413"/>
      <c r="W817" s="413"/>
      <c r="X817" s="413"/>
      <c r="Y817" s="413"/>
      <c r="Z817" s="413"/>
    </row>
    <row r="818" ht="12.0" customHeight="1">
      <c r="A818" s="413"/>
      <c r="B818" s="413"/>
      <c r="C818" s="413"/>
      <c r="D818" s="414"/>
      <c r="E818" s="414"/>
      <c r="F818" s="414"/>
      <c r="G818" s="414"/>
      <c r="H818" s="413"/>
      <c r="I818" s="413"/>
      <c r="J818" s="413"/>
      <c r="K818" s="413"/>
      <c r="L818" s="413"/>
      <c r="M818" s="413"/>
      <c r="N818" s="413"/>
      <c r="O818" s="413"/>
      <c r="P818" s="413"/>
      <c r="Q818" s="413"/>
      <c r="R818" s="413"/>
      <c r="S818" s="413"/>
      <c r="T818" s="413"/>
      <c r="U818" s="413"/>
      <c r="V818" s="413"/>
      <c r="W818" s="413"/>
      <c r="X818" s="413"/>
      <c r="Y818" s="413"/>
      <c r="Z818" s="413"/>
    </row>
    <row r="819" ht="12.0" customHeight="1">
      <c r="A819" s="413"/>
      <c r="B819" s="413"/>
      <c r="C819" s="413"/>
      <c r="D819" s="414"/>
      <c r="E819" s="414"/>
      <c r="F819" s="414"/>
      <c r="G819" s="414"/>
      <c r="H819" s="413"/>
      <c r="I819" s="413"/>
      <c r="J819" s="413"/>
      <c r="K819" s="413"/>
      <c r="L819" s="413"/>
      <c r="M819" s="413"/>
      <c r="N819" s="413"/>
      <c r="O819" s="413"/>
      <c r="P819" s="413"/>
      <c r="Q819" s="413"/>
      <c r="R819" s="413"/>
      <c r="S819" s="413"/>
      <c r="T819" s="413"/>
      <c r="U819" s="413"/>
      <c r="V819" s="413"/>
      <c r="W819" s="413"/>
      <c r="X819" s="413"/>
      <c r="Y819" s="413"/>
      <c r="Z819" s="413"/>
    </row>
    <row r="820" ht="12.0" customHeight="1">
      <c r="A820" s="413"/>
      <c r="B820" s="413"/>
      <c r="C820" s="413"/>
      <c r="D820" s="414"/>
      <c r="E820" s="414"/>
      <c r="F820" s="414"/>
      <c r="G820" s="414"/>
      <c r="H820" s="413"/>
      <c r="I820" s="413"/>
      <c r="J820" s="413"/>
      <c r="K820" s="413"/>
      <c r="L820" s="413"/>
      <c r="M820" s="413"/>
      <c r="N820" s="413"/>
      <c r="O820" s="413"/>
      <c r="P820" s="413"/>
      <c r="Q820" s="413"/>
      <c r="R820" s="413"/>
      <c r="S820" s="413"/>
      <c r="T820" s="413"/>
      <c r="U820" s="413"/>
      <c r="V820" s="413"/>
      <c r="W820" s="413"/>
      <c r="X820" s="413"/>
      <c r="Y820" s="413"/>
      <c r="Z820" s="413"/>
    </row>
    <row r="821" ht="12.0" customHeight="1">
      <c r="A821" s="413"/>
      <c r="B821" s="413"/>
      <c r="C821" s="413"/>
      <c r="D821" s="414"/>
      <c r="E821" s="414"/>
      <c r="F821" s="414"/>
      <c r="G821" s="414"/>
      <c r="H821" s="413"/>
      <c r="I821" s="413"/>
      <c r="J821" s="413"/>
      <c r="K821" s="413"/>
      <c r="L821" s="413"/>
      <c r="M821" s="413"/>
      <c r="N821" s="413"/>
      <c r="O821" s="413"/>
      <c r="P821" s="413"/>
      <c r="Q821" s="413"/>
      <c r="R821" s="413"/>
      <c r="S821" s="413"/>
      <c r="T821" s="413"/>
      <c r="U821" s="413"/>
      <c r="V821" s="413"/>
      <c r="W821" s="413"/>
      <c r="X821" s="413"/>
      <c r="Y821" s="413"/>
      <c r="Z821" s="413"/>
    </row>
    <row r="822" ht="12.0" customHeight="1">
      <c r="A822" s="413"/>
      <c r="B822" s="413"/>
      <c r="C822" s="413"/>
      <c r="D822" s="414"/>
      <c r="E822" s="414"/>
      <c r="F822" s="414"/>
      <c r="G822" s="414"/>
      <c r="H822" s="413"/>
      <c r="I822" s="413"/>
      <c r="J822" s="413"/>
      <c r="K822" s="413"/>
      <c r="L822" s="413"/>
      <c r="M822" s="413"/>
      <c r="N822" s="413"/>
      <c r="O822" s="413"/>
      <c r="P822" s="413"/>
      <c r="Q822" s="413"/>
      <c r="R822" s="413"/>
      <c r="S822" s="413"/>
      <c r="T822" s="413"/>
      <c r="U822" s="413"/>
      <c r="V822" s="413"/>
      <c r="W822" s="413"/>
      <c r="X822" s="413"/>
      <c r="Y822" s="413"/>
      <c r="Z822" s="413"/>
    </row>
    <row r="823" ht="12.0" customHeight="1">
      <c r="A823" s="413"/>
      <c r="B823" s="413"/>
      <c r="C823" s="413"/>
      <c r="D823" s="414"/>
      <c r="E823" s="414"/>
      <c r="F823" s="414"/>
      <c r="G823" s="414"/>
      <c r="H823" s="413"/>
      <c r="I823" s="413"/>
      <c r="J823" s="413"/>
      <c r="K823" s="413"/>
      <c r="L823" s="413"/>
      <c r="M823" s="413"/>
      <c r="N823" s="413"/>
      <c r="O823" s="413"/>
      <c r="P823" s="413"/>
      <c r="Q823" s="413"/>
      <c r="R823" s="413"/>
      <c r="S823" s="413"/>
      <c r="T823" s="413"/>
      <c r="U823" s="413"/>
      <c r="V823" s="413"/>
      <c r="W823" s="413"/>
      <c r="X823" s="413"/>
      <c r="Y823" s="413"/>
      <c r="Z823" s="413"/>
    </row>
    <row r="824" ht="12.0" customHeight="1">
      <c r="A824" s="413"/>
      <c r="B824" s="413"/>
      <c r="C824" s="413"/>
      <c r="D824" s="414"/>
      <c r="E824" s="414"/>
      <c r="F824" s="414"/>
      <c r="G824" s="414"/>
      <c r="H824" s="413"/>
      <c r="I824" s="413"/>
      <c r="J824" s="413"/>
      <c r="K824" s="413"/>
      <c r="L824" s="413"/>
      <c r="M824" s="413"/>
      <c r="N824" s="413"/>
      <c r="O824" s="413"/>
      <c r="P824" s="413"/>
      <c r="Q824" s="413"/>
      <c r="R824" s="413"/>
      <c r="S824" s="413"/>
      <c r="T824" s="413"/>
      <c r="U824" s="413"/>
      <c r="V824" s="413"/>
      <c r="W824" s="413"/>
      <c r="X824" s="413"/>
      <c r="Y824" s="413"/>
      <c r="Z824" s="413"/>
    </row>
    <row r="825" ht="12.0" customHeight="1">
      <c r="A825" s="413"/>
      <c r="B825" s="413"/>
      <c r="C825" s="413"/>
      <c r="D825" s="414"/>
      <c r="E825" s="414"/>
      <c r="F825" s="414"/>
      <c r="G825" s="414"/>
      <c r="H825" s="413"/>
      <c r="I825" s="413"/>
      <c r="J825" s="413"/>
      <c r="K825" s="413"/>
      <c r="L825" s="413"/>
      <c r="M825" s="413"/>
      <c r="N825" s="413"/>
      <c r="O825" s="413"/>
      <c r="P825" s="413"/>
      <c r="Q825" s="413"/>
      <c r="R825" s="413"/>
      <c r="S825" s="413"/>
      <c r="T825" s="413"/>
      <c r="U825" s="413"/>
      <c r="V825" s="413"/>
      <c r="W825" s="413"/>
      <c r="X825" s="413"/>
      <c r="Y825" s="413"/>
      <c r="Z825" s="413"/>
    </row>
    <row r="826" ht="12.0" customHeight="1">
      <c r="A826" s="413"/>
      <c r="B826" s="413"/>
      <c r="C826" s="413"/>
      <c r="D826" s="414"/>
      <c r="E826" s="414"/>
      <c r="F826" s="414"/>
      <c r="G826" s="414"/>
      <c r="H826" s="413"/>
      <c r="I826" s="413"/>
      <c r="J826" s="413"/>
      <c r="K826" s="413"/>
      <c r="L826" s="413"/>
      <c r="M826" s="413"/>
      <c r="N826" s="413"/>
      <c r="O826" s="413"/>
      <c r="P826" s="413"/>
      <c r="Q826" s="413"/>
      <c r="R826" s="413"/>
      <c r="S826" s="413"/>
      <c r="T826" s="413"/>
      <c r="U826" s="413"/>
      <c r="V826" s="413"/>
      <c r="W826" s="413"/>
      <c r="X826" s="413"/>
      <c r="Y826" s="413"/>
      <c r="Z826" s="413"/>
    </row>
    <row r="827" ht="12.0" customHeight="1">
      <c r="A827" s="413"/>
      <c r="B827" s="413"/>
      <c r="C827" s="413"/>
      <c r="D827" s="414"/>
      <c r="E827" s="414"/>
      <c r="F827" s="414"/>
      <c r="G827" s="414"/>
      <c r="H827" s="413"/>
      <c r="I827" s="413"/>
      <c r="J827" s="413"/>
      <c r="K827" s="413"/>
      <c r="L827" s="413"/>
      <c r="M827" s="413"/>
      <c r="N827" s="413"/>
      <c r="O827" s="413"/>
      <c r="P827" s="413"/>
      <c r="Q827" s="413"/>
      <c r="R827" s="413"/>
      <c r="S827" s="413"/>
      <c r="T827" s="413"/>
      <c r="U827" s="413"/>
      <c r="V827" s="413"/>
      <c r="W827" s="413"/>
      <c r="X827" s="413"/>
      <c r="Y827" s="413"/>
      <c r="Z827" s="413"/>
    </row>
    <row r="828" ht="12.0" customHeight="1">
      <c r="A828" s="413"/>
      <c r="B828" s="413"/>
      <c r="C828" s="413"/>
      <c r="D828" s="414"/>
      <c r="E828" s="414"/>
      <c r="F828" s="414"/>
      <c r="G828" s="414"/>
      <c r="H828" s="413"/>
      <c r="I828" s="413"/>
      <c r="J828" s="413"/>
      <c r="K828" s="413"/>
      <c r="L828" s="413"/>
      <c r="M828" s="413"/>
      <c r="N828" s="413"/>
      <c r="O828" s="413"/>
      <c r="P828" s="413"/>
      <c r="Q828" s="413"/>
      <c r="R828" s="413"/>
      <c r="S828" s="413"/>
      <c r="T828" s="413"/>
      <c r="U828" s="413"/>
      <c r="V828" s="413"/>
      <c r="W828" s="413"/>
      <c r="X828" s="413"/>
      <c r="Y828" s="413"/>
      <c r="Z828" s="413"/>
    </row>
    <row r="829" ht="12.0" customHeight="1">
      <c r="A829" s="413"/>
      <c r="B829" s="413"/>
      <c r="C829" s="413"/>
      <c r="D829" s="414"/>
      <c r="E829" s="414"/>
      <c r="F829" s="414"/>
      <c r="G829" s="414"/>
      <c r="H829" s="413"/>
      <c r="I829" s="413"/>
      <c r="J829" s="413"/>
      <c r="K829" s="413"/>
      <c r="L829" s="413"/>
      <c r="M829" s="413"/>
      <c r="N829" s="413"/>
      <c r="O829" s="413"/>
      <c r="P829" s="413"/>
      <c r="Q829" s="413"/>
      <c r="R829" s="413"/>
      <c r="S829" s="413"/>
      <c r="T829" s="413"/>
      <c r="U829" s="413"/>
      <c r="V829" s="413"/>
      <c r="W829" s="413"/>
      <c r="X829" s="413"/>
      <c r="Y829" s="413"/>
      <c r="Z829" s="413"/>
    </row>
    <row r="830" ht="12.0" customHeight="1">
      <c r="A830" s="413"/>
      <c r="B830" s="413"/>
      <c r="C830" s="413"/>
      <c r="D830" s="414"/>
      <c r="E830" s="414"/>
      <c r="F830" s="414"/>
      <c r="G830" s="414"/>
      <c r="H830" s="413"/>
      <c r="I830" s="413"/>
      <c r="J830" s="413"/>
      <c r="K830" s="413"/>
      <c r="L830" s="413"/>
      <c r="M830" s="413"/>
      <c r="N830" s="413"/>
      <c r="O830" s="413"/>
      <c r="P830" s="413"/>
      <c r="Q830" s="413"/>
      <c r="R830" s="413"/>
      <c r="S830" s="413"/>
      <c r="T830" s="413"/>
      <c r="U830" s="413"/>
      <c r="V830" s="413"/>
      <c r="W830" s="413"/>
      <c r="X830" s="413"/>
      <c r="Y830" s="413"/>
      <c r="Z830" s="413"/>
    </row>
    <row r="831" ht="12.0" customHeight="1">
      <c r="A831" s="413"/>
      <c r="B831" s="413"/>
      <c r="C831" s="413"/>
      <c r="D831" s="414"/>
      <c r="E831" s="414"/>
      <c r="F831" s="414"/>
      <c r="G831" s="414"/>
      <c r="H831" s="413"/>
      <c r="I831" s="413"/>
      <c r="J831" s="413"/>
      <c r="K831" s="413"/>
      <c r="L831" s="413"/>
      <c r="M831" s="413"/>
      <c r="N831" s="413"/>
      <c r="O831" s="413"/>
      <c r="P831" s="413"/>
      <c r="Q831" s="413"/>
      <c r="R831" s="413"/>
      <c r="S831" s="413"/>
      <c r="T831" s="413"/>
      <c r="U831" s="413"/>
      <c r="V831" s="413"/>
      <c r="W831" s="413"/>
      <c r="X831" s="413"/>
      <c r="Y831" s="413"/>
      <c r="Z831" s="413"/>
    </row>
    <row r="832" ht="12.0" customHeight="1">
      <c r="A832" s="413"/>
      <c r="B832" s="413"/>
      <c r="C832" s="413"/>
      <c r="D832" s="414"/>
      <c r="E832" s="414"/>
      <c r="F832" s="414"/>
      <c r="G832" s="414"/>
      <c r="H832" s="413"/>
      <c r="I832" s="413"/>
      <c r="J832" s="413"/>
      <c r="K832" s="413"/>
      <c r="L832" s="413"/>
      <c r="M832" s="413"/>
      <c r="N832" s="413"/>
      <c r="O832" s="413"/>
      <c r="P832" s="413"/>
      <c r="Q832" s="413"/>
      <c r="R832" s="413"/>
      <c r="S832" s="413"/>
      <c r="T832" s="413"/>
      <c r="U832" s="413"/>
      <c r="V832" s="413"/>
      <c r="W832" s="413"/>
      <c r="X832" s="413"/>
      <c r="Y832" s="413"/>
      <c r="Z832" s="413"/>
    </row>
    <row r="833" ht="12.0" customHeight="1">
      <c r="A833" s="413"/>
      <c r="B833" s="413"/>
      <c r="C833" s="413"/>
      <c r="D833" s="414"/>
      <c r="E833" s="414"/>
      <c r="F833" s="414"/>
      <c r="G833" s="414"/>
      <c r="H833" s="413"/>
      <c r="I833" s="413"/>
      <c r="J833" s="413"/>
      <c r="K833" s="413"/>
      <c r="L833" s="413"/>
      <c r="M833" s="413"/>
      <c r="N833" s="413"/>
      <c r="O833" s="413"/>
      <c r="P833" s="413"/>
      <c r="Q833" s="413"/>
      <c r="R833" s="413"/>
      <c r="S833" s="413"/>
      <c r="T833" s="413"/>
      <c r="U833" s="413"/>
      <c r="V833" s="413"/>
      <c r="W833" s="413"/>
      <c r="X833" s="413"/>
      <c r="Y833" s="413"/>
      <c r="Z833" s="413"/>
    </row>
    <row r="834" ht="12.0" customHeight="1">
      <c r="A834" s="413"/>
      <c r="B834" s="413"/>
      <c r="C834" s="413"/>
      <c r="D834" s="414"/>
      <c r="E834" s="414"/>
      <c r="F834" s="414"/>
      <c r="G834" s="414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413"/>
      <c r="T834" s="413"/>
      <c r="U834" s="413"/>
      <c r="V834" s="413"/>
      <c r="W834" s="413"/>
      <c r="X834" s="413"/>
      <c r="Y834" s="413"/>
      <c r="Z834" s="413"/>
    </row>
    <row r="835" ht="12.0" customHeight="1">
      <c r="A835" s="413"/>
      <c r="B835" s="413"/>
      <c r="C835" s="413"/>
      <c r="D835" s="414"/>
      <c r="E835" s="414"/>
      <c r="F835" s="414"/>
      <c r="G835" s="414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  <c r="S835" s="413"/>
      <c r="T835" s="413"/>
      <c r="U835" s="413"/>
      <c r="V835" s="413"/>
      <c r="W835" s="413"/>
      <c r="X835" s="413"/>
      <c r="Y835" s="413"/>
      <c r="Z835" s="413"/>
    </row>
    <row r="836" ht="12.0" customHeight="1">
      <c r="A836" s="413"/>
      <c r="B836" s="413"/>
      <c r="C836" s="413"/>
      <c r="D836" s="414"/>
      <c r="E836" s="414"/>
      <c r="F836" s="414"/>
      <c r="G836" s="414"/>
      <c r="H836" s="413"/>
      <c r="I836" s="413"/>
      <c r="J836" s="413"/>
      <c r="K836" s="413"/>
      <c r="L836" s="413"/>
      <c r="M836" s="413"/>
      <c r="N836" s="413"/>
      <c r="O836" s="413"/>
      <c r="P836" s="413"/>
      <c r="Q836" s="413"/>
      <c r="R836" s="413"/>
      <c r="S836" s="413"/>
      <c r="T836" s="413"/>
      <c r="U836" s="413"/>
      <c r="V836" s="413"/>
      <c r="W836" s="413"/>
      <c r="X836" s="413"/>
      <c r="Y836" s="413"/>
      <c r="Z836" s="413"/>
    </row>
    <row r="837" ht="12.0" customHeight="1">
      <c r="A837" s="413"/>
      <c r="B837" s="413"/>
      <c r="C837" s="413"/>
      <c r="D837" s="414"/>
      <c r="E837" s="414"/>
      <c r="F837" s="414"/>
      <c r="G837" s="414"/>
      <c r="H837" s="413"/>
      <c r="I837" s="413"/>
      <c r="J837" s="413"/>
      <c r="K837" s="413"/>
      <c r="L837" s="413"/>
      <c r="M837" s="413"/>
      <c r="N837" s="413"/>
      <c r="O837" s="413"/>
      <c r="P837" s="413"/>
      <c r="Q837" s="413"/>
      <c r="R837" s="413"/>
      <c r="S837" s="413"/>
      <c r="T837" s="413"/>
      <c r="U837" s="413"/>
      <c r="V837" s="413"/>
      <c r="W837" s="413"/>
      <c r="X837" s="413"/>
      <c r="Y837" s="413"/>
      <c r="Z837" s="413"/>
    </row>
    <row r="838" ht="12.0" customHeight="1">
      <c r="A838" s="413"/>
      <c r="B838" s="413"/>
      <c r="C838" s="413"/>
      <c r="D838" s="414"/>
      <c r="E838" s="414"/>
      <c r="F838" s="414"/>
      <c r="G838" s="414"/>
      <c r="H838" s="413"/>
      <c r="I838" s="413"/>
      <c r="J838" s="413"/>
      <c r="K838" s="413"/>
      <c r="L838" s="413"/>
      <c r="M838" s="413"/>
      <c r="N838" s="413"/>
      <c r="O838" s="413"/>
      <c r="P838" s="413"/>
      <c r="Q838" s="413"/>
      <c r="R838" s="413"/>
      <c r="S838" s="413"/>
      <c r="T838" s="413"/>
      <c r="U838" s="413"/>
      <c r="V838" s="413"/>
      <c r="W838" s="413"/>
      <c r="X838" s="413"/>
      <c r="Y838" s="413"/>
      <c r="Z838" s="413"/>
    </row>
    <row r="839" ht="12.0" customHeight="1">
      <c r="A839" s="413"/>
      <c r="B839" s="413"/>
      <c r="C839" s="413"/>
      <c r="D839" s="414"/>
      <c r="E839" s="414"/>
      <c r="F839" s="414"/>
      <c r="G839" s="414"/>
      <c r="H839" s="413"/>
      <c r="I839" s="413"/>
      <c r="J839" s="413"/>
      <c r="K839" s="413"/>
      <c r="L839" s="413"/>
      <c r="M839" s="413"/>
      <c r="N839" s="413"/>
      <c r="O839" s="413"/>
      <c r="P839" s="413"/>
      <c r="Q839" s="413"/>
      <c r="R839" s="413"/>
      <c r="S839" s="413"/>
      <c r="T839" s="413"/>
      <c r="U839" s="413"/>
      <c r="V839" s="413"/>
      <c r="W839" s="413"/>
      <c r="X839" s="413"/>
      <c r="Y839" s="413"/>
      <c r="Z839" s="413"/>
    </row>
    <row r="840" ht="12.0" customHeight="1">
      <c r="A840" s="413"/>
      <c r="B840" s="413"/>
      <c r="C840" s="413"/>
      <c r="D840" s="414"/>
      <c r="E840" s="414"/>
      <c r="F840" s="414"/>
      <c r="G840" s="414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  <c r="T840" s="413"/>
      <c r="U840" s="413"/>
      <c r="V840" s="413"/>
      <c r="W840" s="413"/>
      <c r="X840" s="413"/>
      <c r="Y840" s="413"/>
      <c r="Z840" s="413"/>
    </row>
    <row r="841" ht="12.0" customHeight="1">
      <c r="A841" s="413"/>
      <c r="B841" s="413"/>
      <c r="C841" s="413"/>
      <c r="D841" s="414"/>
      <c r="E841" s="414"/>
      <c r="F841" s="414"/>
      <c r="G841" s="414"/>
      <c r="H841" s="413"/>
      <c r="I841" s="413"/>
      <c r="J841" s="413"/>
      <c r="K841" s="413"/>
      <c r="L841" s="413"/>
      <c r="M841" s="413"/>
      <c r="N841" s="413"/>
      <c r="O841" s="413"/>
      <c r="P841" s="413"/>
      <c r="Q841" s="413"/>
      <c r="R841" s="413"/>
      <c r="S841" s="413"/>
      <c r="T841" s="413"/>
      <c r="U841" s="413"/>
      <c r="V841" s="413"/>
      <c r="W841" s="413"/>
      <c r="X841" s="413"/>
      <c r="Y841" s="413"/>
      <c r="Z841" s="413"/>
    </row>
    <row r="842" ht="12.0" customHeight="1">
      <c r="A842" s="413"/>
      <c r="B842" s="413"/>
      <c r="C842" s="413"/>
      <c r="D842" s="414"/>
      <c r="E842" s="414"/>
      <c r="F842" s="414"/>
      <c r="G842" s="414"/>
      <c r="H842" s="413"/>
      <c r="I842" s="413"/>
      <c r="J842" s="413"/>
      <c r="K842" s="413"/>
      <c r="L842" s="413"/>
      <c r="M842" s="413"/>
      <c r="N842" s="413"/>
      <c r="O842" s="413"/>
      <c r="P842" s="413"/>
      <c r="Q842" s="413"/>
      <c r="R842" s="413"/>
      <c r="S842" s="413"/>
      <c r="T842" s="413"/>
      <c r="U842" s="413"/>
      <c r="V842" s="413"/>
      <c r="W842" s="413"/>
      <c r="X842" s="413"/>
      <c r="Y842" s="413"/>
      <c r="Z842" s="413"/>
    </row>
    <row r="843" ht="12.0" customHeight="1">
      <c r="A843" s="413"/>
      <c r="B843" s="413"/>
      <c r="C843" s="413"/>
      <c r="D843" s="414"/>
      <c r="E843" s="414"/>
      <c r="F843" s="414"/>
      <c r="G843" s="414"/>
      <c r="H843" s="413"/>
      <c r="I843" s="413"/>
      <c r="J843" s="413"/>
      <c r="K843" s="413"/>
      <c r="L843" s="413"/>
      <c r="M843" s="413"/>
      <c r="N843" s="413"/>
      <c r="O843" s="413"/>
      <c r="P843" s="413"/>
      <c r="Q843" s="413"/>
      <c r="R843" s="413"/>
      <c r="S843" s="413"/>
      <c r="T843" s="413"/>
      <c r="U843" s="413"/>
      <c r="V843" s="413"/>
      <c r="W843" s="413"/>
      <c r="X843" s="413"/>
      <c r="Y843" s="413"/>
      <c r="Z843" s="413"/>
    </row>
    <row r="844" ht="12.0" customHeight="1">
      <c r="A844" s="413"/>
      <c r="B844" s="413"/>
      <c r="C844" s="413"/>
      <c r="D844" s="414"/>
      <c r="E844" s="414"/>
      <c r="F844" s="414"/>
      <c r="G844" s="414"/>
      <c r="H844" s="413"/>
      <c r="I844" s="413"/>
      <c r="J844" s="413"/>
      <c r="K844" s="413"/>
      <c r="L844" s="413"/>
      <c r="M844" s="413"/>
      <c r="N844" s="413"/>
      <c r="O844" s="413"/>
      <c r="P844" s="413"/>
      <c r="Q844" s="413"/>
      <c r="R844" s="413"/>
      <c r="S844" s="413"/>
      <c r="T844" s="413"/>
      <c r="U844" s="413"/>
      <c r="V844" s="413"/>
      <c r="W844" s="413"/>
      <c r="X844" s="413"/>
      <c r="Y844" s="413"/>
      <c r="Z844" s="413"/>
    </row>
    <row r="845" ht="12.0" customHeight="1">
      <c r="A845" s="413"/>
      <c r="B845" s="413"/>
      <c r="C845" s="413"/>
      <c r="D845" s="414"/>
      <c r="E845" s="414"/>
      <c r="F845" s="414"/>
      <c r="G845" s="414"/>
      <c r="H845" s="413"/>
      <c r="I845" s="413"/>
      <c r="J845" s="413"/>
      <c r="K845" s="413"/>
      <c r="L845" s="413"/>
      <c r="M845" s="413"/>
      <c r="N845" s="413"/>
      <c r="O845" s="413"/>
      <c r="P845" s="413"/>
      <c r="Q845" s="413"/>
      <c r="R845" s="413"/>
      <c r="S845" s="413"/>
      <c r="T845" s="413"/>
      <c r="U845" s="413"/>
      <c r="V845" s="413"/>
      <c r="W845" s="413"/>
      <c r="X845" s="413"/>
      <c r="Y845" s="413"/>
      <c r="Z845" s="413"/>
    </row>
    <row r="846" ht="12.0" customHeight="1">
      <c r="A846" s="413"/>
      <c r="B846" s="413"/>
      <c r="C846" s="413"/>
      <c r="D846" s="414"/>
      <c r="E846" s="414"/>
      <c r="F846" s="414"/>
      <c r="G846" s="414"/>
      <c r="H846" s="413"/>
      <c r="I846" s="413"/>
      <c r="J846" s="413"/>
      <c r="K846" s="413"/>
      <c r="L846" s="413"/>
      <c r="M846" s="413"/>
      <c r="N846" s="413"/>
      <c r="O846" s="413"/>
      <c r="P846" s="413"/>
      <c r="Q846" s="413"/>
      <c r="R846" s="413"/>
      <c r="S846" s="413"/>
      <c r="T846" s="413"/>
      <c r="U846" s="413"/>
      <c r="V846" s="413"/>
      <c r="W846" s="413"/>
      <c r="X846" s="413"/>
      <c r="Y846" s="413"/>
      <c r="Z846" s="413"/>
    </row>
    <row r="847" ht="12.0" customHeight="1">
      <c r="A847" s="413"/>
      <c r="B847" s="413"/>
      <c r="C847" s="413"/>
      <c r="D847" s="414"/>
      <c r="E847" s="414"/>
      <c r="F847" s="414"/>
      <c r="G847" s="414"/>
      <c r="H847" s="413"/>
      <c r="I847" s="413"/>
      <c r="J847" s="413"/>
      <c r="K847" s="413"/>
      <c r="L847" s="413"/>
      <c r="M847" s="413"/>
      <c r="N847" s="413"/>
      <c r="O847" s="413"/>
      <c r="P847" s="413"/>
      <c r="Q847" s="413"/>
      <c r="R847" s="413"/>
      <c r="S847" s="413"/>
      <c r="T847" s="413"/>
      <c r="U847" s="413"/>
      <c r="V847" s="413"/>
      <c r="W847" s="413"/>
      <c r="X847" s="413"/>
      <c r="Y847" s="413"/>
      <c r="Z847" s="413"/>
    </row>
    <row r="848" ht="12.0" customHeight="1">
      <c r="A848" s="413"/>
      <c r="B848" s="413"/>
      <c r="C848" s="413"/>
      <c r="D848" s="414"/>
      <c r="E848" s="414"/>
      <c r="F848" s="414"/>
      <c r="G848" s="414"/>
      <c r="H848" s="413"/>
      <c r="I848" s="413"/>
      <c r="J848" s="413"/>
      <c r="K848" s="413"/>
      <c r="L848" s="413"/>
      <c r="M848" s="413"/>
      <c r="N848" s="413"/>
      <c r="O848" s="413"/>
      <c r="P848" s="413"/>
      <c r="Q848" s="413"/>
      <c r="R848" s="413"/>
      <c r="S848" s="413"/>
      <c r="T848" s="413"/>
      <c r="U848" s="413"/>
      <c r="V848" s="413"/>
      <c r="W848" s="413"/>
      <c r="X848" s="413"/>
      <c r="Y848" s="413"/>
      <c r="Z848" s="413"/>
    </row>
    <row r="849" ht="12.0" customHeight="1">
      <c r="A849" s="413"/>
      <c r="B849" s="413"/>
      <c r="C849" s="413"/>
      <c r="D849" s="414"/>
      <c r="E849" s="414"/>
      <c r="F849" s="414"/>
      <c r="G849" s="414"/>
      <c r="H849" s="413"/>
      <c r="I849" s="413"/>
      <c r="J849" s="413"/>
      <c r="K849" s="413"/>
      <c r="L849" s="413"/>
      <c r="M849" s="413"/>
      <c r="N849" s="413"/>
      <c r="O849" s="413"/>
      <c r="P849" s="413"/>
      <c r="Q849" s="413"/>
      <c r="R849" s="413"/>
      <c r="S849" s="413"/>
      <c r="T849" s="413"/>
      <c r="U849" s="413"/>
      <c r="V849" s="413"/>
      <c r="W849" s="413"/>
      <c r="X849" s="413"/>
      <c r="Y849" s="413"/>
      <c r="Z849" s="413"/>
    </row>
    <row r="850" ht="12.0" customHeight="1">
      <c r="A850" s="413"/>
      <c r="B850" s="413"/>
      <c r="C850" s="413"/>
      <c r="D850" s="414"/>
      <c r="E850" s="414"/>
      <c r="F850" s="414"/>
      <c r="G850" s="414"/>
      <c r="H850" s="413"/>
      <c r="I850" s="413"/>
      <c r="J850" s="413"/>
      <c r="K850" s="413"/>
      <c r="L850" s="413"/>
      <c r="M850" s="413"/>
      <c r="N850" s="413"/>
      <c r="O850" s="413"/>
      <c r="P850" s="413"/>
      <c r="Q850" s="413"/>
      <c r="R850" s="413"/>
      <c r="S850" s="413"/>
      <c r="T850" s="413"/>
      <c r="U850" s="413"/>
      <c r="V850" s="413"/>
      <c r="W850" s="413"/>
      <c r="X850" s="413"/>
      <c r="Y850" s="413"/>
      <c r="Z850" s="413"/>
    </row>
    <row r="851" ht="12.0" customHeight="1">
      <c r="A851" s="413"/>
      <c r="B851" s="413"/>
      <c r="C851" s="413"/>
      <c r="D851" s="414"/>
      <c r="E851" s="414"/>
      <c r="F851" s="414"/>
      <c r="G851" s="414"/>
      <c r="H851" s="413"/>
      <c r="I851" s="413"/>
      <c r="J851" s="413"/>
      <c r="K851" s="413"/>
      <c r="L851" s="413"/>
      <c r="M851" s="413"/>
      <c r="N851" s="413"/>
      <c r="O851" s="413"/>
      <c r="P851" s="413"/>
      <c r="Q851" s="413"/>
      <c r="R851" s="413"/>
      <c r="S851" s="413"/>
      <c r="T851" s="413"/>
      <c r="U851" s="413"/>
      <c r="V851" s="413"/>
      <c r="W851" s="413"/>
      <c r="X851" s="413"/>
      <c r="Y851" s="413"/>
      <c r="Z851" s="413"/>
    </row>
    <row r="852" ht="12.0" customHeight="1">
      <c r="A852" s="413"/>
      <c r="B852" s="413"/>
      <c r="C852" s="413"/>
      <c r="D852" s="414"/>
      <c r="E852" s="414"/>
      <c r="F852" s="414"/>
      <c r="G852" s="414"/>
      <c r="H852" s="413"/>
      <c r="I852" s="413"/>
      <c r="J852" s="413"/>
      <c r="K852" s="413"/>
      <c r="L852" s="413"/>
      <c r="M852" s="413"/>
      <c r="N852" s="413"/>
      <c r="O852" s="413"/>
      <c r="P852" s="413"/>
      <c r="Q852" s="413"/>
      <c r="R852" s="413"/>
      <c r="S852" s="413"/>
      <c r="T852" s="413"/>
      <c r="U852" s="413"/>
      <c r="V852" s="413"/>
      <c r="W852" s="413"/>
      <c r="X852" s="413"/>
      <c r="Y852" s="413"/>
      <c r="Z852" s="413"/>
    </row>
    <row r="853" ht="12.0" customHeight="1">
      <c r="A853" s="413"/>
      <c r="B853" s="413"/>
      <c r="C853" s="413"/>
      <c r="D853" s="414"/>
      <c r="E853" s="414"/>
      <c r="F853" s="414"/>
      <c r="G853" s="414"/>
      <c r="H853" s="413"/>
      <c r="I853" s="413"/>
      <c r="J853" s="413"/>
      <c r="K853" s="413"/>
      <c r="L853" s="413"/>
      <c r="M853" s="413"/>
      <c r="N853" s="413"/>
      <c r="O853" s="413"/>
      <c r="P853" s="413"/>
      <c r="Q853" s="413"/>
      <c r="R853" s="413"/>
      <c r="S853" s="413"/>
      <c r="T853" s="413"/>
      <c r="U853" s="413"/>
      <c r="V853" s="413"/>
      <c r="W853" s="413"/>
      <c r="X853" s="413"/>
      <c r="Y853" s="413"/>
      <c r="Z853" s="413"/>
    </row>
    <row r="854" ht="12.0" customHeight="1">
      <c r="A854" s="413"/>
      <c r="B854" s="413"/>
      <c r="C854" s="413"/>
      <c r="D854" s="414"/>
      <c r="E854" s="414"/>
      <c r="F854" s="414"/>
      <c r="G854" s="414"/>
      <c r="H854" s="413"/>
      <c r="I854" s="413"/>
      <c r="J854" s="413"/>
      <c r="K854" s="413"/>
      <c r="L854" s="413"/>
      <c r="M854" s="413"/>
      <c r="N854" s="413"/>
      <c r="O854" s="413"/>
      <c r="P854" s="413"/>
      <c r="Q854" s="413"/>
      <c r="R854" s="413"/>
      <c r="S854" s="413"/>
      <c r="T854" s="413"/>
      <c r="U854" s="413"/>
      <c r="V854" s="413"/>
      <c r="W854" s="413"/>
      <c r="X854" s="413"/>
      <c r="Y854" s="413"/>
      <c r="Z854" s="413"/>
    </row>
    <row r="855" ht="12.0" customHeight="1">
      <c r="A855" s="413"/>
      <c r="B855" s="413"/>
      <c r="C855" s="413"/>
      <c r="D855" s="414"/>
      <c r="E855" s="414"/>
      <c r="F855" s="414"/>
      <c r="G855" s="414"/>
      <c r="H855" s="413"/>
      <c r="I855" s="413"/>
      <c r="J855" s="413"/>
      <c r="K855" s="413"/>
      <c r="L855" s="413"/>
      <c r="M855" s="413"/>
      <c r="N855" s="413"/>
      <c r="O855" s="413"/>
      <c r="P855" s="413"/>
      <c r="Q855" s="413"/>
      <c r="R855" s="413"/>
      <c r="S855" s="413"/>
      <c r="T855" s="413"/>
      <c r="U855" s="413"/>
      <c r="V855" s="413"/>
      <c r="W855" s="413"/>
      <c r="X855" s="413"/>
      <c r="Y855" s="413"/>
      <c r="Z855" s="413"/>
    </row>
    <row r="856" ht="12.0" customHeight="1">
      <c r="A856" s="413"/>
      <c r="B856" s="413"/>
      <c r="C856" s="413"/>
      <c r="D856" s="414"/>
      <c r="E856" s="414"/>
      <c r="F856" s="414"/>
      <c r="G856" s="414"/>
      <c r="H856" s="413"/>
      <c r="I856" s="413"/>
      <c r="J856" s="413"/>
      <c r="K856" s="413"/>
      <c r="L856" s="413"/>
      <c r="M856" s="413"/>
      <c r="N856" s="413"/>
      <c r="O856" s="413"/>
      <c r="P856" s="413"/>
      <c r="Q856" s="413"/>
      <c r="R856" s="413"/>
      <c r="S856" s="413"/>
      <c r="T856" s="413"/>
      <c r="U856" s="413"/>
      <c r="V856" s="413"/>
      <c r="W856" s="413"/>
      <c r="X856" s="413"/>
      <c r="Y856" s="413"/>
      <c r="Z856" s="413"/>
    </row>
    <row r="857" ht="12.0" customHeight="1">
      <c r="A857" s="413"/>
      <c r="B857" s="413"/>
      <c r="C857" s="413"/>
      <c r="D857" s="414"/>
      <c r="E857" s="414"/>
      <c r="F857" s="414"/>
      <c r="G857" s="414"/>
      <c r="H857" s="413"/>
      <c r="I857" s="413"/>
      <c r="J857" s="413"/>
      <c r="K857" s="413"/>
      <c r="L857" s="413"/>
      <c r="M857" s="413"/>
      <c r="N857" s="413"/>
      <c r="O857" s="413"/>
      <c r="P857" s="413"/>
      <c r="Q857" s="413"/>
      <c r="R857" s="413"/>
      <c r="S857" s="413"/>
      <c r="T857" s="413"/>
      <c r="U857" s="413"/>
      <c r="V857" s="413"/>
      <c r="W857" s="413"/>
      <c r="X857" s="413"/>
      <c r="Y857" s="413"/>
      <c r="Z857" s="413"/>
    </row>
    <row r="858" ht="12.0" customHeight="1">
      <c r="A858" s="413"/>
      <c r="B858" s="413"/>
      <c r="C858" s="413"/>
      <c r="D858" s="414"/>
      <c r="E858" s="414"/>
      <c r="F858" s="414"/>
      <c r="G858" s="414"/>
      <c r="H858" s="413"/>
      <c r="I858" s="413"/>
      <c r="J858" s="413"/>
      <c r="K858" s="413"/>
      <c r="L858" s="413"/>
      <c r="M858" s="413"/>
      <c r="N858" s="413"/>
      <c r="O858" s="413"/>
      <c r="P858" s="413"/>
      <c r="Q858" s="413"/>
      <c r="R858" s="413"/>
      <c r="S858" s="413"/>
      <c r="T858" s="413"/>
      <c r="U858" s="413"/>
      <c r="V858" s="413"/>
      <c r="W858" s="413"/>
      <c r="X858" s="413"/>
      <c r="Y858" s="413"/>
      <c r="Z858" s="413"/>
    </row>
    <row r="859" ht="12.0" customHeight="1">
      <c r="A859" s="413"/>
      <c r="B859" s="413"/>
      <c r="C859" s="413"/>
      <c r="D859" s="414"/>
      <c r="E859" s="414"/>
      <c r="F859" s="414"/>
      <c r="G859" s="414"/>
      <c r="H859" s="413"/>
      <c r="I859" s="413"/>
      <c r="J859" s="413"/>
      <c r="K859" s="413"/>
      <c r="L859" s="413"/>
      <c r="M859" s="413"/>
      <c r="N859" s="413"/>
      <c r="O859" s="413"/>
      <c r="P859" s="413"/>
      <c r="Q859" s="413"/>
      <c r="R859" s="413"/>
      <c r="S859" s="413"/>
      <c r="T859" s="413"/>
      <c r="U859" s="413"/>
      <c r="V859" s="413"/>
      <c r="W859" s="413"/>
      <c r="X859" s="413"/>
      <c r="Y859" s="413"/>
      <c r="Z859" s="413"/>
    </row>
    <row r="860" ht="12.0" customHeight="1">
      <c r="A860" s="413"/>
      <c r="B860" s="413"/>
      <c r="C860" s="413"/>
      <c r="D860" s="414"/>
      <c r="E860" s="414"/>
      <c r="F860" s="414"/>
      <c r="G860" s="414"/>
      <c r="H860" s="413"/>
      <c r="I860" s="413"/>
      <c r="J860" s="413"/>
      <c r="K860" s="413"/>
      <c r="L860" s="413"/>
      <c r="M860" s="413"/>
      <c r="N860" s="413"/>
      <c r="O860" s="413"/>
      <c r="P860" s="413"/>
      <c r="Q860" s="413"/>
      <c r="R860" s="413"/>
      <c r="S860" s="413"/>
      <c r="T860" s="413"/>
      <c r="U860" s="413"/>
      <c r="V860" s="413"/>
      <c r="W860" s="413"/>
      <c r="X860" s="413"/>
      <c r="Y860" s="413"/>
      <c r="Z860" s="413"/>
    </row>
    <row r="861" ht="12.0" customHeight="1">
      <c r="A861" s="413"/>
      <c r="B861" s="413"/>
      <c r="C861" s="413"/>
      <c r="D861" s="414"/>
      <c r="E861" s="414"/>
      <c r="F861" s="414"/>
      <c r="G861" s="414"/>
      <c r="H861" s="413"/>
      <c r="I861" s="413"/>
      <c r="J861" s="413"/>
      <c r="K861" s="413"/>
      <c r="L861" s="413"/>
      <c r="M861" s="413"/>
      <c r="N861" s="413"/>
      <c r="O861" s="413"/>
      <c r="P861" s="413"/>
      <c r="Q861" s="413"/>
      <c r="R861" s="413"/>
      <c r="S861" s="413"/>
      <c r="T861" s="413"/>
      <c r="U861" s="413"/>
      <c r="V861" s="413"/>
      <c r="W861" s="413"/>
      <c r="X861" s="413"/>
      <c r="Y861" s="413"/>
      <c r="Z861" s="413"/>
    </row>
    <row r="862" ht="12.0" customHeight="1">
      <c r="A862" s="413"/>
      <c r="B862" s="413"/>
      <c r="C862" s="413"/>
      <c r="D862" s="414"/>
      <c r="E862" s="414"/>
      <c r="F862" s="414"/>
      <c r="G862" s="414"/>
      <c r="H862" s="413"/>
      <c r="I862" s="413"/>
      <c r="J862" s="413"/>
      <c r="K862" s="413"/>
      <c r="L862" s="413"/>
      <c r="M862" s="413"/>
      <c r="N862" s="413"/>
      <c r="O862" s="413"/>
      <c r="P862" s="413"/>
      <c r="Q862" s="413"/>
      <c r="R862" s="413"/>
      <c r="S862" s="413"/>
      <c r="T862" s="413"/>
      <c r="U862" s="413"/>
      <c r="V862" s="413"/>
      <c r="W862" s="413"/>
      <c r="X862" s="413"/>
      <c r="Y862" s="413"/>
      <c r="Z862" s="413"/>
    </row>
    <row r="863" ht="12.0" customHeight="1">
      <c r="A863" s="413"/>
      <c r="B863" s="413"/>
      <c r="C863" s="413"/>
      <c r="D863" s="414"/>
      <c r="E863" s="414"/>
      <c r="F863" s="414"/>
      <c r="G863" s="414"/>
      <c r="H863" s="413"/>
      <c r="I863" s="413"/>
      <c r="J863" s="413"/>
      <c r="K863" s="413"/>
      <c r="L863" s="413"/>
      <c r="M863" s="413"/>
      <c r="N863" s="413"/>
      <c r="O863" s="413"/>
      <c r="P863" s="413"/>
      <c r="Q863" s="413"/>
      <c r="R863" s="413"/>
      <c r="S863" s="413"/>
      <c r="T863" s="413"/>
      <c r="U863" s="413"/>
      <c r="V863" s="413"/>
      <c r="W863" s="413"/>
      <c r="X863" s="413"/>
      <c r="Y863" s="413"/>
      <c r="Z863" s="413"/>
    </row>
    <row r="864" ht="12.0" customHeight="1">
      <c r="A864" s="413"/>
      <c r="B864" s="413"/>
      <c r="C864" s="413"/>
      <c r="D864" s="414"/>
      <c r="E864" s="414"/>
      <c r="F864" s="414"/>
      <c r="G864" s="414"/>
      <c r="H864" s="413"/>
      <c r="I864" s="413"/>
      <c r="J864" s="413"/>
      <c r="K864" s="413"/>
      <c r="L864" s="413"/>
      <c r="M864" s="413"/>
      <c r="N864" s="413"/>
      <c r="O864" s="413"/>
      <c r="P864" s="413"/>
      <c r="Q864" s="413"/>
      <c r="R864" s="413"/>
      <c r="S864" s="413"/>
      <c r="T864" s="413"/>
      <c r="U864" s="413"/>
      <c r="V864" s="413"/>
      <c r="W864" s="413"/>
      <c r="X864" s="413"/>
      <c r="Y864" s="413"/>
      <c r="Z864" s="413"/>
    </row>
    <row r="865" ht="12.0" customHeight="1">
      <c r="A865" s="413"/>
      <c r="B865" s="413"/>
      <c r="C865" s="413"/>
      <c r="D865" s="414"/>
      <c r="E865" s="414"/>
      <c r="F865" s="414"/>
      <c r="G865" s="414"/>
      <c r="H865" s="413"/>
      <c r="I865" s="413"/>
      <c r="J865" s="413"/>
      <c r="K865" s="413"/>
      <c r="L865" s="413"/>
      <c r="M865" s="413"/>
      <c r="N865" s="413"/>
      <c r="O865" s="413"/>
      <c r="P865" s="413"/>
      <c r="Q865" s="413"/>
      <c r="R865" s="413"/>
      <c r="S865" s="413"/>
      <c r="T865" s="413"/>
      <c r="U865" s="413"/>
      <c r="V865" s="413"/>
      <c r="W865" s="413"/>
      <c r="X865" s="413"/>
      <c r="Y865" s="413"/>
      <c r="Z865" s="413"/>
    </row>
    <row r="866" ht="12.0" customHeight="1">
      <c r="A866" s="413"/>
      <c r="B866" s="413"/>
      <c r="C866" s="413"/>
      <c r="D866" s="414"/>
      <c r="E866" s="414"/>
      <c r="F866" s="414"/>
      <c r="G866" s="414"/>
      <c r="H866" s="413"/>
      <c r="I866" s="413"/>
      <c r="J866" s="413"/>
      <c r="K866" s="413"/>
      <c r="L866" s="413"/>
      <c r="M866" s="413"/>
      <c r="N866" s="413"/>
      <c r="O866" s="413"/>
      <c r="P866" s="413"/>
      <c r="Q866" s="413"/>
      <c r="R866" s="413"/>
      <c r="S866" s="413"/>
      <c r="T866" s="413"/>
      <c r="U866" s="413"/>
      <c r="V866" s="413"/>
      <c r="W866" s="413"/>
      <c r="X866" s="413"/>
      <c r="Y866" s="413"/>
      <c r="Z866" s="413"/>
    </row>
    <row r="867" ht="12.0" customHeight="1">
      <c r="A867" s="413"/>
      <c r="B867" s="413"/>
      <c r="C867" s="413"/>
      <c r="D867" s="414"/>
      <c r="E867" s="414"/>
      <c r="F867" s="414"/>
      <c r="G867" s="414"/>
      <c r="H867" s="413"/>
      <c r="I867" s="413"/>
      <c r="J867" s="413"/>
      <c r="K867" s="413"/>
      <c r="L867" s="413"/>
      <c r="M867" s="413"/>
      <c r="N867" s="413"/>
      <c r="O867" s="413"/>
      <c r="P867" s="413"/>
      <c r="Q867" s="413"/>
      <c r="R867" s="413"/>
      <c r="S867" s="413"/>
      <c r="T867" s="413"/>
      <c r="U867" s="413"/>
      <c r="V867" s="413"/>
      <c r="W867" s="413"/>
      <c r="X867" s="413"/>
      <c r="Y867" s="413"/>
      <c r="Z867" s="413"/>
    </row>
    <row r="868" ht="12.0" customHeight="1">
      <c r="A868" s="413"/>
      <c r="B868" s="413"/>
      <c r="C868" s="413"/>
      <c r="D868" s="414"/>
      <c r="E868" s="414"/>
      <c r="F868" s="414"/>
      <c r="G868" s="414"/>
      <c r="H868" s="413"/>
      <c r="I868" s="413"/>
      <c r="J868" s="413"/>
      <c r="K868" s="413"/>
      <c r="L868" s="413"/>
      <c r="M868" s="413"/>
      <c r="N868" s="413"/>
      <c r="O868" s="413"/>
      <c r="P868" s="413"/>
      <c r="Q868" s="413"/>
      <c r="R868" s="413"/>
      <c r="S868" s="413"/>
      <c r="T868" s="413"/>
      <c r="U868" s="413"/>
      <c r="V868" s="413"/>
      <c r="W868" s="413"/>
      <c r="X868" s="413"/>
      <c r="Y868" s="413"/>
      <c r="Z868" s="413"/>
    </row>
    <row r="869" ht="12.0" customHeight="1">
      <c r="A869" s="413"/>
      <c r="B869" s="413"/>
      <c r="C869" s="413"/>
      <c r="D869" s="414"/>
      <c r="E869" s="414"/>
      <c r="F869" s="414"/>
      <c r="G869" s="414"/>
      <c r="H869" s="413"/>
      <c r="I869" s="413"/>
      <c r="J869" s="413"/>
      <c r="K869" s="413"/>
      <c r="L869" s="413"/>
      <c r="M869" s="413"/>
      <c r="N869" s="413"/>
      <c r="O869" s="413"/>
      <c r="P869" s="413"/>
      <c r="Q869" s="413"/>
      <c r="R869" s="413"/>
      <c r="S869" s="413"/>
      <c r="T869" s="413"/>
      <c r="U869" s="413"/>
      <c r="V869" s="413"/>
      <c r="W869" s="413"/>
      <c r="X869" s="413"/>
      <c r="Y869" s="413"/>
      <c r="Z869" s="413"/>
    </row>
    <row r="870" ht="12.0" customHeight="1">
      <c r="A870" s="413"/>
      <c r="B870" s="413"/>
      <c r="C870" s="413"/>
      <c r="D870" s="414"/>
      <c r="E870" s="414"/>
      <c r="F870" s="414"/>
      <c r="G870" s="414"/>
      <c r="H870" s="413"/>
      <c r="I870" s="413"/>
      <c r="J870" s="413"/>
      <c r="K870" s="413"/>
      <c r="L870" s="413"/>
      <c r="M870" s="413"/>
      <c r="N870" s="413"/>
      <c r="O870" s="413"/>
      <c r="P870" s="413"/>
      <c r="Q870" s="413"/>
      <c r="R870" s="413"/>
      <c r="S870" s="413"/>
      <c r="T870" s="413"/>
      <c r="U870" s="413"/>
      <c r="V870" s="413"/>
      <c r="W870" s="413"/>
      <c r="X870" s="413"/>
      <c r="Y870" s="413"/>
      <c r="Z870" s="413"/>
    </row>
    <row r="871" ht="12.0" customHeight="1">
      <c r="A871" s="413"/>
      <c r="B871" s="413"/>
      <c r="C871" s="413"/>
      <c r="D871" s="414"/>
      <c r="E871" s="414"/>
      <c r="F871" s="414"/>
      <c r="G871" s="414"/>
      <c r="H871" s="413"/>
      <c r="I871" s="413"/>
      <c r="J871" s="413"/>
      <c r="K871" s="413"/>
      <c r="L871" s="413"/>
      <c r="M871" s="413"/>
      <c r="N871" s="413"/>
      <c r="O871" s="413"/>
      <c r="P871" s="413"/>
      <c r="Q871" s="413"/>
      <c r="R871" s="413"/>
      <c r="S871" s="413"/>
      <c r="T871" s="413"/>
      <c r="U871" s="413"/>
      <c r="V871" s="413"/>
      <c r="W871" s="413"/>
      <c r="X871" s="413"/>
      <c r="Y871" s="413"/>
      <c r="Z871" s="413"/>
    </row>
    <row r="872" ht="12.0" customHeight="1">
      <c r="A872" s="413"/>
      <c r="B872" s="413"/>
      <c r="C872" s="413"/>
      <c r="D872" s="414"/>
      <c r="E872" s="414"/>
      <c r="F872" s="414"/>
      <c r="G872" s="414"/>
      <c r="H872" s="413"/>
      <c r="I872" s="413"/>
      <c r="J872" s="413"/>
      <c r="K872" s="413"/>
      <c r="L872" s="413"/>
      <c r="M872" s="413"/>
      <c r="N872" s="413"/>
      <c r="O872" s="413"/>
      <c r="P872" s="413"/>
      <c r="Q872" s="413"/>
      <c r="R872" s="413"/>
      <c r="S872" s="413"/>
      <c r="T872" s="413"/>
      <c r="U872" s="413"/>
      <c r="V872" s="413"/>
      <c r="W872" s="413"/>
      <c r="X872" s="413"/>
      <c r="Y872" s="413"/>
      <c r="Z872" s="413"/>
    </row>
    <row r="873" ht="12.0" customHeight="1">
      <c r="A873" s="413"/>
      <c r="B873" s="413"/>
      <c r="C873" s="413"/>
      <c r="D873" s="414"/>
      <c r="E873" s="414"/>
      <c r="F873" s="414"/>
      <c r="G873" s="414"/>
      <c r="H873" s="413"/>
      <c r="I873" s="413"/>
      <c r="J873" s="413"/>
      <c r="K873" s="413"/>
      <c r="L873" s="413"/>
      <c r="M873" s="413"/>
      <c r="N873" s="413"/>
      <c r="O873" s="413"/>
      <c r="P873" s="413"/>
      <c r="Q873" s="413"/>
      <c r="R873" s="413"/>
      <c r="S873" s="413"/>
      <c r="T873" s="413"/>
      <c r="U873" s="413"/>
      <c r="V873" s="413"/>
      <c r="W873" s="413"/>
      <c r="X873" s="413"/>
      <c r="Y873" s="413"/>
      <c r="Z873" s="413"/>
    </row>
    <row r="874" ht="12.0" customHeight="1">
      <c r="A874" s="413"/>
      <c r="B874" s="413"/>
      <c r="C874" s="413"/>
      <c r="D874" s="414"/>
      <c r="E874" s="414"/>
      <c r="F874" s="414"/>
      <c r="G874" s="414"/>
      <c r="H874" s="413"/>
      <c r="I874" s="413"/>
      <c r="J874" s="413"/>
      <c r="K874" s="413"/>
      <c r="L874" s="413"/>
      <c r="M874" s="413"/>
      <c r="N874" s="413"/>
      <c r="O874" s="413"/>
      <c r="P874" s="413"/>
      <c r="Q874" s="413"/>
      <c r="R874" s="413"/>
      <c r="S874" s="413"/>
      <c r="T874" s="413"/>
      <c r="U874" s="413"/>
      <c r="V874" s="413"/>
      <c r="W874" s="413"/>
      <c r="X874" s="413"/>
      <c r="Y874" s="413"/>
      <c r="Z874" s="413"/>
    </row>
    <row r="875" ht="12.0" customHeight="1">
      <c r="A875" s="413"/>
      <c r="B875" s="413"/>
      <c r="C875" s="413"/>
      <c r="D875" s="414"/>
      <c r="E875" s="414"/>
      <c r="F875" s="414"/>
      <c r="G875" s="414"/>
      <c r="H875" s="413"/>
      <c r="I875" s="413"/>
      <c r="J875" s="413"/>
      <c r="K875" s="413"/>
      <c r="L875" s="413"/>
      <c r="M875" s="413"/>
      <c r="N875" s="413"/>
      <c r="O875" s="413"/>
      <c r="P875" s="413"/>
      <c r="Q875" s="413"/>
      <c r="R875" s="413"/>
      <c r="S875" s="413"/>
      <c r="T875" s="413"/>
      <c r="U875" s="413"/>
      <c r="V875" s="413"/>
      <c r="W875" s="413"/>
      <c r="X875" s="413"/>
      <c r="Y875" s="413"/>
      <c r="Z875" s="413"/>
    </row>
    <row r="876" ht="12.0" customHeight="1">
      <c r="A876" s="413"/>
      <c r="B876" s="413"/>
      <c r="C876" s="413"/>
      <c r="D876" s="414"/>
      <c r="E876" s="414"/>
      <c r="F876" s="414"/>
      <c r="G876" s="414"/>
      <c r="H876" s="413"/>
      <c r="I876" s="413"/>
      <c r="J876" s="413"/>
      <c r="K876" s="413"/>
      <c r="L876" s="413"/>
      <c r="M876" s="413"/>
      <c r="N876" s="413"/>
      <c r="O876" s="413"/>
      <c r="P876" s="413"/>
      <c r="Q876" s="413"/>
      <c r="R876" s="413"/>
      <c r="S876" s="413"/>
      <c r="T876" s="413"/>
      <c r="U876" s="413"/>
      <c r="V876" s="413"/>
      <c r="W876" s="413"/>
      <c r="X876" s="413"/>
      <c r="Y876" s="413"/>
      <c r="Z876" s="413"/>
    </row>
    <row r="877" ht="12.0" customHeight="1">
      <c r="A877" s="413"/>
      <c r="B877" s="413"/>
      <c r="C877" s="413"/>
      <c r="D877" s="414"/>
      <c r="E877" s="414"/>
      <c r="F877" s="414"/>
      <c r="G877" s="414"/>
      <c r="H877" s="413"/>
      <c r="I877" s="413"/>
      <c r="J877" s="413"/>
      <c r="K877" s="413"/>
      <c r="L877" s="413"/>
      <c r="M877" s="413"/>
      <c r="N877" s="413"/>
      <c r="O877" s="413"/>
      <c r="P877" s="413"/>
      <c r="Q877" s="413"/>
      <c r="R877" s="413"/>
      <c r="S877" s="413"/>
      <c r="T877" s="413"/>
      <c r="U877" s="413"/>
      <c r="V877" s="413"/>
      <c r="W877" s="413"/>
      <c r="X877" s="413"/>
      <c r="Y877" s="413"/>
      <c r="Z877" s="413"/>
    </row>
    <row r="878" ht="12.0" customHeight="1">
      <c r="A878" s="413"/>
      <c r="B878" s="413"/>
      <c r="C878" s="413"/>
      <c r="D878" s="414"/>
      <c r="E878" s="414"/>
      <c r="F878" s="414"/>
      <c r="G878" s="414"/>
      <c r="H878" s="413"/>
      <c r="I878" s="413"/>
      <c r="J878" s="413"/>
      <c r="K878" s="413"/>
      <c r="L878" s="413"/>
      <c r="M878" s="413"/>
      <c r="N878" s="413"/>
      <c r="O878" s="413"/>
      <c r="P878" s="413"/>
      <c r="Q878" s="413"/>
      <c r="R878" s="413"/>
      <c r="S878" s="413"/>
      <c r="T878" s="413"/>
      <c r="U878" s="413"/>
      <c r="V878" s="413"/>
      <c r="W878" s="413"/>
      <c r="X878" s="413"/>
      <c r="Y878" s="413"/>
      <c r="Z878" s="413"/>
    </row>
    <row r="879" ht="12.0" customHeight="1">
      <c r="A879" s="413"/>
      <c r="B879" s="413"/>
      <c r="C879" s="413"/>
      <c r="D879" s="414"/>
      <c r="E879" s="414"/>
      <c r="F879" s="414"/>
      <c r="G879" s="414"/>
      <c r="H879" s="413"/>
      <c r="I879" s="413"/>
      <c r="J879" s="413"/>
      <c r="K879" s="413"/>
      <c r="L879" s="413"/>
      <c r="M879" s="413"/>
      <c r="N879" s="413"/>
      <c r="O879" s="413"/>
      <c r="P879" s="413"/>
      <c r="Q879" s="413"/>
      <c r="R879" s="413"/>
      <c r="S879" s="413"/>
      <c r="T879" s="413"/>
      <c r="U879" s="413"/>
      <c r="V879" s="413"/>
      <c r="W879" s="413"/>
      <c r="X879" s="413"/>
      <c r="Y879" s="413"/>
      <c r="Z879" s="413"/>
    </row>
    <row r="880" ht="12.0" customHeight="1">
      <c r="A880" s="413"/>
      <c r="B880" s="413"/>
      <c r="C880" s="413"/>
      <c r="D880" s="414"/>
      <c r="E880" s="414"/>
      <c r="F880" s="414"/>
      <c r="G880" s="414"/>
      <c r="H880" s="413"/>
      <c r="I880" s="413"/>
      <c r="J880" s="413"/>
      <c r="K880" s="413"/>
      <c r="L880" s="413"/>
      <c r="M880" s="413"/>
      <c r="N880" s="413"/>
      <c r="O880" s="413"/>
      <c r="P880" s="413"/>
      <c r="Q880" s="413"/>
      <c r="R880" s="413"/>
      <c r="S880" s="413"/>
      <c r="T880" s="413"/>
      <c r="U880" s="413"/>
      <c r="V880" s="413"/>
      <c r="W880" s="413"/>
      <c r="X880" s="413"/>
      <c r="Y880" s="413"/>
      <c r="Z880" s="413"/>
    </row>
    <row r="881" ht="12.0" customHeight="1">
      <c r="A881" s="413"/>
      <c r="B881" s="413"/>
      <c r="C881" s="413"/>
      <c r="D881" s="414"/>
      <c r="E881" s="414"/>
      <c r="F881" s="414"/>
      <c r="G881" s="414"/>
      <c r="H881" s="413"/>
      <c r="I881" s="413"/>
      <c r="J881" s="413"/>
      <c r="K881" s="413"/>
      <c r="L881" s="413"/>
      <c r="M881" s="413"/>
      <c r="N881" s="413"/>
      <c r="O881" s="413"/>
      <c r="P881" s="413"/>
      <c r="Q881" s="413"/>
      <c r="R881" s="413"/>
      <c r="S881" s="413"/>
      <c r="T881" s="413"/>
      <c r="U881" s="413"/>
      <c r="V881" s="413"/>
      <c r="W881" s="413"/>
      <c r="X881" s="413"/>
      <c r="Y881" s="413"/>
      <c r="Z881" s="413"/>
    </row>
    <row r="882" ht="12.0" customHeight="1">
      <c r="A882" s="413"/>
      <c r="B882" s="413"/>
      <c r="C882" s="413"/>
      <c r="D882" s="414"/>
      <c r="E882" s="414"/>
      <c r="F882" s="414"/>
      <c r="G882" s="414"/>
      <c r="H882" s="413"/>
      <c r="I882" s="413"/>
      <c r="J882" s="413"/>
      <c r="K882" s="413"/>
      <c r="L882" s="413"/>
      <c r="M882" s="413"/>
      <c r="N882" s="413"/>
      <c r="O882" s="413"/>
      <c r="P882" s="413"/>
      <c r="Q882" s="413"/>
      <c r="R882" s="413"/>
      <c r="S882" s="413"/>
      <c r="T882" s="413"/>
      <c r="U882" s="413"/>
      <c r="V882" s="413"/>
      <c r="W882" s="413"/>
      <c r="X882" s="413"/>
      <c r="Y882" s="413"/>
      <c r="Z882" s="413"/>
    </row>
    <row r="883" ht="12.0" customHeight="1">
      <c r="A883" s="413"/>
      <c r="B883" s="413"/>
      <c r="C883" s="413"/>
      <c r="D883" s="414"/>
      <c r="E883" s="414"/>
      <c r="F883" s="414"/>
      <c r="G883" s="414"/>
      <c r="H883" s="413"/>
      <c r="I883" s="413"/>
      <c r="J883" s="413"/>
      <c r="K883" s="413"/>
      <c r="L883" s="413"/>
      <c r="M883" s="413"/>
      <c r="N883" s="413"/>
      <c r="O883" s="413"/>
      <c r="P883" s="413"/>
      <c r="Q883" s="413"/>
      <c r="R883" s="413"/>
      <c r="S883" s="413"/>
      <c r="T883" s="413"/>
      <c r="U883" s="413"/>
      <c r="V883" s="413"/>
      <c r="W883" s="413"/>
      <c r="X883" s="413"/>
      <c r="Y883" s="413"/>
      <c r="Z883" s="413"/>
    </row>
    <row r="884" ht="12.0" customHeight="1">
      <c r="A884" s="413"/>
      <c r="B884" s="413"/>
      <c r="C884" s="413"/>
      <c r="D884" s="414"/>
      <c r="E884" s="414"/>
      <c r="F884" s="414"/>
      <c r="G884" s="414"/>
      <c r="H884" s="413"/>
      <c r="I884" s="413"/>
      <c r="J884" s="413"/>
      <c r="K884" s="413"/>
      <c r="L884" s="413"/>
      <c r="M884" s="413"/>
      <c r="N884" s="413"/>
      <c r="O884" s="413"/>
      <c r="P884" s="413"/>
      <c r="Q884" s="413"/>
      <c r="R884" s="413"/>
      <c r="S884" s="413"/>
      <c r="T884" s="413"/>
      <c r="U884" s="413"/>
      <c r="V884" s="413"/>
      <c r="W884" s="413"/>
      <c r="X884" s="413"/>
      <c r="Y884" s="413"/>
      <c r="Z884" s="413"/>
    </row>
    <row r="885" ht="12.0" customHeight="1">
      <c r="A885" s="413"/>
      <c r="B885" s="413"/>
      <c r="C885" s="413"/>
      <c r="D885" s="414"/>
      <c r="E885" s="414"/>
      <c r="F885" s="414"/>
      <c r="G885" s="414"/>
      <c r="H885" s="413"/>
      <c r="I885" s="413"/>
      <c r="J885" s="413"/>
      <c r="K885" s="413"/>
      <c r="L885" s="413"/>
      <c r="M885" s="413"/>
      <c r="N885" s="413"/>
      <c r="O885" s="413"/>
      <c r="P885" s="413"/>
      <c r="Q885" s="413"/>
      <c r="R885" s="413"/>
      <c r="S885" s="413"/>
      <c r="T885" s="413"/>
      <c r="U885" s="413"/>
      <c r="V885" s="413"/>
      <c r="W885" s="413"/>
      <c r="X885" s="413"/>
      <c r="Y885" s="413"/>
      <c r="Z885" s="413"/>
    </row>
    <row r="886" ht="12.0" customHeight="1">
      <c r="A886" s="413"/>
      <c r="B886" s="413"/>
      <c r="C886" s="413"/>
      <c r="D886" s="414"/>
      <c r="E886" s="414"/>
      <c r="F886" s="414"/>
      <c r="G886" s="414"/>
      <c r="H886" s="413"/>
      <c r="I886" s="413"/>
      <c r="J886" s="413"/>
      <c r="K886" s="413"/>
      <c r="L886" s="413"/>
      <c r="M886" s="413"/>
      <c r="N886" s="413"/>
      <c r="O886" s="413"/>
      <c r="P886" s="413"/>
      <c r="Q886" s="413"/>
      <c r="R886" s="413"/>
      <c r="S886" s="413"/>
      <c r="T886" s="413"/>
      <c r="U886" s="413"/>
      <c r="V886" s="413"/>
      <c r="W886" s="413"/>
      <c r="X886" s="413"/>
      <c r="Y886" s="413"/>
      <c r="Z886" s="413"/>
    </row>
    <row r="887" ht="12.0" customHeight="1">
      <c r="A887" s="413"/>
      <c r="B887" s="413"/>
      <c r="C887" s="413"/>
      <c r="D887" s="414"/>
      <c r="E887" s="414"/>
      <c r="F887" s="414"/>
      <c r="G887" s="414"/>
      <c r="H887" s="413"/>
      <c r="I887" s="413"/>
      <c r="J887" s="413"/>
      <c r="K887" s="413"/>
      <c r="L887" s="413"/>
      <c r="M887" s="413"/>
      <c r="N887" s="413"/>
      <c r="O887" s="413"/>
      <c r="P887" s="413"/>
      <c r="Q887" s="413"/>
      <c r="R887" s="413"/>
      <c r="S887" s="413"/>
      <c r="T887" s="413"/>
      <c r="U887" s="413"/>
      <c r="V887" s="413"/>
      <c r="W887" s="413"/>
      <c r="X887" s="413"/>
      <c r="Y887" s="413"/>
      <c r="Z887" s="413"/>
    </row>
    <row r="888" ht="12.0" customHeight="1">
      <c r="A888" s="413"/>
      <c r="B888" s="413"/>
      <c r="C888" s="413"/>
      <c r="D888" s="414"/>
      <c r="E888" s="414"/>
      <c r="F888" s="414"/>
      <c r="G888" s="414"/>
      <c r="H888" s="413"/>
      <c r="I888" s="413"/>
      <c r="J888" s="413"/>
      <c r="K888" s="413"/>
      <c r="L888" s="413"/>
      <c r="M888" s="413"/>
      <c r="N888" s="413"/>
      <c r="O888" s="413"/>
      <c r="P888" s="413"/>
      <c r="Q888" s="413"/>
      <c r="R888" s="413"/>
      <c r="S888" s="413"/>
      <c r="T888" s="413"/>
      <c r="U888" s="413"/>
      <c r="V888" s="413"/>
      <c r="W888" s="413"/>
      <c r="X888" s="413"/>
      <c r="Y888" s="413"/>
      <c r="Z888" s="413"/>
    </row>
    <row r="889" ht="12.0" customHeight="1">
      <c r="A889" s="413"/>
      <c r="B889" s="413"/>
      <c r="C889" s="413"/>
      <c r="D889" s="414"/>
      <c r="E889" s="414"/>
      <c r="F889" s="414"/>
      <c r="G889" s="414"/>
      <c r="H889" s="413"/>
      <c r="I889" s="413"/>
      <c r="J889" s="413"/>
      <c r="K889" s="413"/>
      <c r="L889" s="413"/>
      <c r="M889" s="413"/>
      <c r="N889" s="413"/>
      <c r="O889" s="413"/>
      <c r="P889" s="413"/>
      <c r="Q889" s="413"/>
      <c r="R889" s="413"/>
      <c r="S889" s="413"/>
      <c r="T889" s="413"/>
      <c r="U889" s="413"/>
      <c r="V889" s="413"/>
      <c r="W889" s="413"/>
      <c r="X889" s="413"/>
      <c r="Y889" s="413"/>
      <c r="Z889" s="413"/>
    </row>
    <row r="890" ht="12.0" customHeight="1">
      <c r="A890" s="413"/>
      <c r="B890" s="413"/>
      <c r="C890" s="413"/>
      <c r="D890" s="414"/>
      <c r="E890" s="414"/>
      <c r="F890" s="414"/>
      <c r="G890" s="414"/>
      <c r="H890" s="413"/>
      <c r="I890" s="413"/>
      <c r="J890" s="413"/>
      <c r="K890" s="413"/>
      <c r="L890" s="413"/>
      <c r="M890" s="413"/>
      <c r="N890" s="413"/>
      <c r="O890" s="413"/>
      <c r="P890" s="413"/>
      <c r="Q890" s="413"/>
      <c r="R890" s="413"/>
      <c r="S890" s="413"/>
      <c r="T890" s="413"/>
      <c r="U890" s="413"/>
      <c r="V890" s="413"/>
      <c r="W890" s="413"/>
      <c r="X890" s="413"/>
      <c r="Y890" s="413"/>
      <c r="Z890" s="413"/>
    </row>
    <row r="891" ht="12.0" customHeight="1">
      <c r="A891" s="413"/>
      <c r="B891" s="413"/>
      <c r="C891" s="413"/>
      <c r="D891" s="414"/>
      <c r="E891" s="414"/>
      <c r="F891" s="414"/>
      <c r="G891" s="414"/>
      <c r="H891" s="413"/>
      <c r="I891" s="413"/>
      <c r="J891" s="413"/>
      <c r="K891" s="413"/>
      <c r="L891" s="413"/>
      <c r="M891" s="413"/>
      <c r="N891" s="413"/>
      <c r="O891" s="413"/>
      <c r="P891" s="413"/>
      <c r="Q891" s="413"/>
      <c r="R891" s="413"/>
      <c r="S891" s="413"/>
      <c r="T891" s="413"/>
      <c r="U891" s="413"/>
      <c r="V891" s="413"/>
      <c r="W891" s="413"/>
      <c r="X891" s="413"/>
      <c r="Y891" s="413"/>
      <c r="Z891" s="413"/>
    </row>
    <row r="892" ht="12.0" customHeight="1">
      <c r="A892" s="413"/>
      <c r="B892" s="413"/>
      <c r="C892" s="413"/>
      <c r="D892" s="414"/>
      <c r="E892" s="414"/>
      <c r="F892" s="414"/>
      <c r="G892" s="414"/>
      <c r="H892" s="413"/>
      <c r="I892" s="413"/>
      <c r="J892" s="413"/>
      <c r="K892" s="413"/>
      <c r="L892" s="413"/>
      <c r="M892" s="413"/>
      <c r="N892" s="413"/>
      <c r="O892" s="413"/>
      <c r="P892" s="413"/>
      <c r="Q892" s="413"/>
      <c r="R892" s="413"/>
      <c r="S892" s="413"/>
      <c r="T892" s="413"/>
      <c r="U892" s="413"/>
      <c r="V892" s="413"/>
      <c r="W892" s="413"/>
      <c r="X892" s="413"/>
      <c r="Y892" s="413"/>
      <c r="Z892" s="413"/>
    </row>
    <row r="893" ht="12.0" customHeight="1">
      <c r="A893" s="413"/>
      <c r="B893" s="413"/>
      <c r="C893" s="413"/>
      <c r="D893" s="414"/>
      <c r="E893" s="414"/>
      <c r="F893" s="414"/>
      <c r="G893" s="414"/>
      <c r="H893" s="413"/>
      <c r="I893" s="413"/>
      <c r="J893" s="413"/>
      <c r="K893" s="413"/>
      <c r="L893" s="413"/>
      <c r="M893" s="413"/>
      <c r="N893" s="413"/>
      <c r="O893" s="413"/>
      <c r="P893" s="413"/>
      <c r="Q893" s="413"/>
      <c r="R893" s="413"/>
      <c r="S893" s="413"/>
      <c r="T893" s="413"/>
      <c r="U893" s="413"/>
      <c r="V893" s="413"/>
      <c r="W893" s="413"/>
      <c r="X893" s="413"/>
      <c r="Y893" s="413"/>
      <c r="Z893" s="413"/>
    </row>
    <row r="894" ht="12.0" customHeight="1">
      <c r="A894" s="413"/>
      <c r="B894" s="413"/>
      <c r="C894" s="413"/>
      <c r="D894" s="414"/>
      <c r="E894" s="414"/>
      <c r="F894" s="414"/>
      <c r="G894" s="414"/>
      <c r="H894" s="413"/>
      <c r="I894" s="413"/>
      <c r="J894" s="413"/>
      <c r="K894" s="413"/>
      <c r="L894" s="413"/>
      <c r="M894" s="413"/>
      <c r="N894" s="413"/>
      <c r="O894" s="413"/>
      <c r="P894" s="413"/>
      <c r="Q894" s="413"/>
      <c r="R894" s="413"/>
      <c r="S894" s="413"/>
      <c r="T894" s="413"/>
      <c r="U894" s="413"/>
      <c r="V894" s="413"/>
      <c r="W894" s="413"/>
      <c r="X894" s="413"/>
      <c r="Y894" s="413"/>
      <c r="Z894" s="413"/>
    </row>
    <row r="895" ht="12.0" customHeight="1">
      <c r="A895" s="413"/>
      <c r="B895" s="413"/>
      <c r="C895" s="413"/>
      <c r="D895" s="414"/>
      <c r="E895" s="414"/>
      <c r="F895" s="414"/>
      <c r="G895" s="414"/>
      <c r="H895" s="413"/>
      <c r="I895" s="413"/>
      <c r="J895" s="413"/>
      <c r="K895" s="413"/>
      <c r="L895" s="413"/>
      <c r="M895" s="413"/>
      <c r="N895" s="413"/>
      <c r="O895" s="413"/>
      <c r="P895" s="413"/>
      <c r="Q895" s="413"/>
      <c r="R895" s="413"/>
      <c r="S895" s="413"/>
      <c r="T895" s="413"/>
      <c r="U895" s="413"/>
      <c r="V895" s="413"/>
      <c r="W895" s="413"/>
      <c r="X895" s="413"/>
      <c r="Y895" s="413"/>
      <c r="Z895" s="413"/>
    </row>
    <row r="896" ht="12.0" customHeight="1">
      <c r="A896" s="413"/>
      <c r="B896" s="413"/>
      <c r="C896" s="413"/>
      <c r="D896" s="414"/>
      <c r="E896" s="414"/>
      <c r="F896" s="414"/>
      <c r="G896" s="414"/>
      <c r="H896" s="413"/>
      <c r="I896" s="413"/>
      <c r="J896" s="413"/>
      <c r="K896" s="413"/>
      <c r="L896" s="413"/>
      <c r="M896" s="413"/>
      <c r="N896" s="413"/>
      <c r="O896" s="413"/>
      <c r="P896" s="413"/>
      <c r="Q896" s="413"/>
      <c r="R896" s="413"/>
      <c r="S896" s="413"/>
      <c r="T896" s="413"/>
      <c r="U896" s="413"/>
      <c r="V896" s="413"/>
      <c r="W896" s="413"/>
      <c r="X896" s="413"/>
      <c r="Y896" s="413"/>
      <c r="Z896" s="413"/>
    </row>
    <row r="897" ht="12.0" customHeight="1">
      <c r="A897" s="413"/>
      <c r="B897" s="413"/>
      <c r="C897" s="413"/>
      <c r="D897" s="414"/>
      <c r="E897" s="414"/>
      <c r="F897" s="414"/>
      <c r="G897" s="414"/>
      <c r="H897" s="413"/>
      <c r="I897" s="413"/>
      <c r="J897" s="413"/>
      <c r="K897" s="413"/>
      <c r="L897" s="413"/>
      <c r="M897" s="413"/>
      <c r="N897" s="413"/>
      <c r="O897" s="413"/>
      <c r="P897" s="413"/>
      <c r="Q897" s="413"/>
      <c r="R897" s="413"/>
      <c r="S897" s="413"/>
      <c r="T897" s="413"/>
      <c r="U897" s="413"/>
      <c r="V897" s="413"/>
      <c r="W897" s="413"/>
      <c r="X897" s="413"/>
      <c r="Y897" s="413"/>
      <c r="Z897" s="413"/>
    </row>
    <row r="898" ht="12.0" customHeight="1">
      <c r="A898" s="413"/>
      <c r="B898" s="413"/>
      <c r="C898" s="413"/>
      <c r="D898" s="414"/>
      <c r="E898" s="414"/>
      <c r="F898" s="414"/>
      <c r="G898" s="414"/>
      <c r="H898" s="413"/>
      <c r="I898" s="413"/>
      <c r="J898" s="413"/>
      <c r="K898" s="413"/>
      <c r="L898" s="413"/>
      <c r="M898" s="413"/>
      <c r="N898" s="413"/>
      <c r="O898" s="413"/>
      <c r="P898" s="413"/>
      <c r="Q898" s="413"/>
      <c r="R898" s="413"/>
      <c r="S898" s="413"/>
      <c r="T898" s="413"/>
      <c r="U898" s="413"/>
      <c r="V898" s="413"/>
      <c r="W898" s="413"/>
      <c r="X898" s="413"/>
      <c r="Y898" s="413"/>
      <c r="Z898" s="413"/>
    </row>
    <row r="899" ht="12.0" customHeight="1">
      <c r="A899" s="413"/>
      <c r="B899" s="413"/>
      <c r="C899" s="413"/>
      <c r="D899" s="414"/>
      <c r="E899" s="414"/>
      <c r="F899" s="414"/>
      <c r="G899" s="414"/>
      <c r="H899" s="413"/>
      <c r="I899" s="413"/>
      <c r="J899" s="413"/>
      <c r="K899" s="413"/>
      <c r="L899" s="413"/>
      <c r="M899" s="413"/>
      <c r="N899" s="413"/>
      <c r="O899" s="413"/>
      <c r="P899" s="413"/>
      <c r="Q899" s="413"/>
      <c r="R899" s="413"/>
      <c r="S899" s="413"/>
      <c r="T899" s="413"/>
      <c r="U899" s="413"/>
      <c r="V899" s="413"/>
      <c r="W899" s="413"/>
      <c r="X899" s="413"/>
      <c r="Y899" s="413"/>
      <c r="Z899" s="413"/>
    </row>
    <row r="900" ht="12.0" customHeight="1">
      <c r="A900" s="413"/>
      <c r="B900" s="413"/>
      <c r="C900" s="413"/>
      <c r="D900" s="414"/>
      <c r="E900" s="414"/>
      <c r="F900" s="414"/>
      <c r="G900" s="414"/>
      <c r="H900" s="413"/>
      <c r="I900" s="413"/>
      <c r="J900" s="413"/>
      <c r="K900" s="413"/>
      <c r="L900" s="413"/>
      <c r="M900" s="413"/>
      <c r="N900" s="413"/>
      <c r="O900" s="413"/>
      <c r="P900" s="413"/>
      <c r="Q900" s="413"/>
      <c r="R900" s="413"/>
      <c r="S900" s="413"/>
      <c r="T900" s="413"/>
      <c r="U900" s="413"/>
      <c r="V900" s="413"/>
      <c r="W900" s="413"/>
      <c r="X900" s="413"/>
      <c r="Y900" s="413"/>
      <c r="Z900" s="413"/>
    </row>
    <row r="901" ht="12.0" customHeight="1">
      <c r="A901" s="413"/>
      <c r="B901" s="413"/>
      <c r="C901" s="413"/>
      <c r="D901" s="414"/>
      <c r="E901" s="414"/>
      <c r="F901" s="414"/>
      <c r="G901" s="414"/>
      <c r="H901" s="413"/>
      <c r="I901" s="413"/>
      <c r="J901" s="413"/>
      <c r="K901" s="413"/>
      <c r="L901" s="413"/>
      <c r="M901" s="413"/>
      <c r="N901" s="413"/>
      <c r="O901" s="413"/>
      <c r="P901" s="413"/>
      <c r="Q901" s="413"/>
      <c r="R901" s="413"/>
      <c r="S901" s="413"/>
      <c r="T901" s="413"/>
      <c r="U901" s="413"/>
      <c r="V901" s="413"/>
      <c r="W901" s="413"/>
      <c r="X901" s="413"/>
      <c r="Y901" s="413"/>
      <c r="Z901" s="413"/>
    </row>
    <row r="902" ht="12.0" customHeight="1">
      <c r="A902" s="413"/>
      <c r="B902" s="413"/>
      <c r="C902" s="413"/>
      <c r="D902" s="414"/>
      <c r="E902" s="414"/>
      <c r="F902" s="414"/>
      <c r="G902" s="414"/>
      <c r="H902" s="413"/>
      <c r="I902" s="413"/>
      <c r="J902" s="413"/>
      <c r="K902" s="413"/>
      <c r="L902" s="413"/>
      <c r="M902" s="413"/>
      <c r="N902" s="413"/>
      <c r="O902" s="413"/>
      <c r="P902" s="413"/>
      <c r="Q902" s="413"/>
      <c r="R902" s="413"/>
      <c r="S902" s="413"/>
      <c r="T902" s="413"/>
      <c r="U902" s="413"/>
      <c r="V902" s="413"/>
      <c r="W902" s="413"/>
      <c r="X902" s="413"/>
      <c r="Y902" s="413"/>
      <c r="Z902" s="413"/>
    </row>
    <row r="903" ht="12.0" customHeight="1">
      <c r="A903" s="413"/>
      <c r="B903" s="413"/>
      <c r="C903" s="413"/>
      <c r="D903" s="414"/>
      <c r="E903" s="414"/>
      <c r="F903" s="414"/>
      <c r="G903" s="414"/>
      <c r="H903" s="413"/>
      <c r="I903" s="413"/>
      <c r="J903" s="413"/>
      <c r="K903" s="413"/>
      <c r="L903" s="413"/>
      <c r="M903" s="413"/>
      <c r="N903" s="413"/>
      <c r="O903" s="413"/>
      <c r="P903" s="413"/>
      <c r="Q903" s="413"/>
      <c r="R903" s="413"/>
      <c r="S903" s="413"/>
      <c r="T903" s="413"/>
      <c r="U903" s="413"/>
      <c r="V903" s="413"/>
      <c r="W903" s="413"/>
      <c r="X903" s="413"/>
      <c r="Y903" s="413"/>
      <c r="Z903" s="413"/>
    </row>
    <row r="904" ht="12.0" customHeight="1">
      <c r="A904" s="413"/>
      <c r="B904" s="413"/>
      <c r="C904" s="413"/>
      <c r="D904" s="414"/>
      <c r="E904" s="414"/>
      <c r="F904" s="414"/>
      <c r="G904" s="414"/>
      <c r="H904" s="413"/>
      <c r="I904" s="413"/>
      <c r="J904" s="413"/>
      <c r="K904" s="413"/>
      <c r="L904" s="413"/>
      <c r="M904" s="413"/>
      <c r="N904" s="413"/>
      <c r="O904" s="413"/>
      <c r="P904" s="413"/>
      <c r="Q904" s="413"/>
      <c r="R904" s="413"/>
      <c r="S904" s="413"/>
      <c r="T904" s="413"/>
      <c r="U904" s="413"/>
      <c r="V904" s="413"/>
      <c r="W904" s="413"/>
      <c r="X904" s="413"/>
      <c r="Y904" s="413"/>
      <c r="Z904" s="413"/>
    </row>
    <row r="905" ht="12.0" customHeight="1">
      <c r="A905" s="413"/>
      <c r="B905" s="413"/>
      <c r="C905" s="413"/>
      <c r="D905" s="414"/>
      <c r="E905" s="414"/>
      <c r="F905" s="414"/>
      <c r="G905" s="414"/>
      <c r="H905" s="413"/>
      <c r="I905" s="413"/>
      <c r="J905" s="413"/>
      <c r="K905" s="413"/>
      <c r="L905" s="413"/>
      <c r="M905" s="413"/>
      <c r="N905" s="413"/>
      <c r="O905" s="413"/>
      <c r="P905" s="413"/>
      <c r="Q905" s="413"/>
      <c r="R905" s="413"/>
      <c r="S905" s="413"/>
      <c r="T905" s="413"/>
      <c r="U905" s="413"/>
      <c r="V905" s="413"/>
      <c r="W905" s="413"/>
      <c r="X905" s="413"/>
      <c r="Y905" s="413"/>
      <c r="Z905" s="413"/>
    </row>
    <row r="906" ht="12.0" customHeight="1">
      <c r="A906" s="413"/>
      <c r="B906" s="413"/>
      <c r="C906" s="413"/>
      <c r="D906" s="414"/>
      <c r="E906" s="414"/>
      <c r="F906" s="414"/>
      <c r="G906" s="414"/>
      <c r="H906" s="413"/>
      <c r="I906" s="413"/>
      <c r="J906" s="413"/>
      <c r="K906" s="413"/>
      <c r="L906" s="413"/>
      <c r="M906" s="413"/>
      <c r="N906" s="413"/>
      <c r="O906" s="413"/>
      <c r="P906" s="413"/>
      <c r="Q906" s="413"/>
      <c r="R906" s="413"/>
      <c r="S906" s="413"/>
      <c r="T906" s="413"/>
      <c r="U906" s="413"/>
      <c r="V906" s="413"/>
      <c r="W906" s="413"/>
      <c r="X906" s="413"/>
      <c r="Y906" s="413"/>
      <c r="Z906" s="413"/>
    </row>
    <row r="907" ht="12.0" customHeight="1">
      <c r="A907" s="413"/>
      <c r="B907" s="413"/>
      <c r="C907" s="413"/>
      <c r="D907" s="414"/>
      <c r="E907" s="414"/>
      <c r="F907" s="414"/>
      <c r="G907" s="414"/>
      <c r="H907" s="413"/>
      <c r="I907" s="413"/>
      <c r="J907" s="413"/>
      <c r="K907" s="413"/>
      <c r="L907" s="413"/>
      <c r="M907" s="413"/>
      <c r="N907" s="413"/>
      <c r="O907" s="413"/>
      <c r="P907" s="413"/>
      <c r="Q907" s="413"/>
      <c r="R907" s="413"/>
      <c r="S907" s="413"/>
      <c r="T907" s="413"/>
      <c r="U907" s="413"/>
      <c r="V907" s="413"/>
      <c r="W907" s="413"/>
      <c r="X907" s="413"/>
      <c r="Y907" s="413"/>
      <c r="Z907" s="413"/>
    </row>
    <row r="908" ht="12.0" customHeight="1">
      <c r="A908" s="413"/>
      <c r="B908" s="413"/>
      <c r="C908" s="413"/>
      <c r="D908" s="414"/>
      <c r="E908" s="414"/>
      <c r="F908" s="414"/>
      <c r="G908" s="414"/>
      <c r="H908" s="413"/>
      <c r="I908" s="413"/>
      <c r="J908" s="413"/>
      <c r="K908" s="413"/>
      <c r="L908" s="413"/>
      <c r="M908" s="413"/>
      <c r="N908" s="413"/>
      <c r="O908" s="413"/>
      <c r="P908" s="413"/>
      <c r="Q908" s="413"/>
      <c r="R908" s="413"/>
      <c r="S908" s="413"/>
      <c r="T908" s="413"/>
      <c r="U908" s="413"/>
      <c r="V908" s="413"/>
      <c r="W908" s="413"/>
      <c r="X908" s="413"/>
      <c r="Y908" s="413"/>
      <c r="Z908" s="413"/>
    </row>
    <row r="909" ht="12.0" customHeight="1">
      <c r="A909" s="413"/>
      <c r="B909" s="413"/>
      <c r="C909" s="413"/>
      <c r="D909" s="414"/>
      <c r="E909" s="414"/>
      <c r="F909" s="414"/>
      <c r="G909" s="414"/>
      <c r="H909" s="413"/>
      <c r="I909" s="413"/>
      <c r="J909" s="413"/>
      <c r="K909" s="413"/>
      <c r="L909" s="413"/>
      <c r="M909" s="413"/>
      <c r="N909" s="413"/>
      <c r="O909" s="413"/>
      <c r="P909" s="413"/>
      <c r="Q909" s="413"/>
      <c r="R909" s="413"/>
      <c r="S909" s="413"/>
      <c r="T909" s="413"/>
      <c r="U909" s="413"/>
      <c r="V909" s="413"/>
      <c r="W909" s="413"/>
      <c r="X909" s="413"/>
      <c r="Y909" s="413"/>
      <c r="Z909" s="413"/>
    </row>
    <row r="910" ht="12.0" customHeight="1">
      <c r="A910" s="413"/>
      <c r="B910" s="413"/>
      <c r="C910" s="413"/>
      <c r="D910" s="414"/>
      <c r="E910" s="414"/>
      <c r="F910" s="414"/>
      <c r="G910" s="414"/>
      <c r="H910" s="413"/>
      <c r="I910" s="413"/>
      <c r="J910" s="413"/>
      <c r="K910" s="413"/>
      <c r="L910" s="413"/>
      <c r="M910" s="413"/>
      <c r="N910" s="413"/>
      <c r="O910" s="413"/>
      <c r="P910" s="413"/>
      <c r="Q910" s="413"/>
      <c r="R910" s="413"/>
      <c r="S910" s="413"/>
      <c r="T910" s="413"/>
      <c r="U910" s="413"/>
      <c r="V910" s="413"/>
      <c r="W910" s="413"/>
      <c r="X910" s="413"/>
      <c r="Y910" s="413"/>
      <c r="Z910" s="413"/>
    </row>
    <row r="911" ht="12.0" customHeight="1">
      <c r="A911" s="413"/>
      <c r="B911" s="413"/>
      <c r="C911" s="413"/>
      <c r="D911" s="414"/>
      <c r="E911" s="414"/>
      <c r="F911" s="414"/>
      <c r="G911" s="414"/>
      <c r="H911" s="413"/>
      <c r="I911" s="413"/>
      <c r="J911" s="413"/>
      <c r="K911" s="413"/>
      <c r="L911" s="413"/>
      <c r="M911" s="413"/>
      <c r="N911" s="413"/>
      <c r="O911" s="413"/>
      <c r="P911" s="413"/>
      <c r="Q911" s="413"/>
      <c r="R911" s="413"/>
      <c r="S911" s="413"/>
      <c r="T911" s="413"/>
      <c r="U911" s="413"/>
      <c r="V911" s="413"/>
      <c r="W911" s="413"/>
      <c r="X911" s="413"/>
      <c r="Y911" s="413"/>
      <c r="Z911" s="413"/>
    </row>
    <row r="912" ht="12.0" customHeight="1">
      <c r="A912" s="413"/>
      <c r="B912" s="413"/>
      <c r="C912" s="413"/>
      <c r="D912" s="414"/>
      <c r="E912" s="414"/>
      <c r="F912" s="414"/>
      <c r="G912" s="414"/>
      <c r="H912" s="413"/>
      <c r="I912" s="413"/>
      <c r="J912" s="413"/>
      <c r="K912" s="413"/>
      <c r="L912" s="413"/>
      <c r="M912" s="413"/>
      <c r="N912" s="413"/>
      <c r="O912" s="413"/>
      <c r="P912" s="413"/>
      <c r="Q912" s="413"/>
      <c r="R912" s="413"/>
      <c r="S912" s="413"/>
      <c r="T912" s="413"/>
      <c r="U912" s="413"/>
      <c r="V912" s="413"/>
      <c r="W912" s="413"/>
      <c r="X912" s="413"/>
      <c r="Y912" s="413"/>
      <c r="Z912" s="413"/>
    </row>
    <row r="913" ht="12.0" customHeight="1">
      <c r="A913" s="413"/>
      <c r="B913" s="413"/>
      <c r="C913" s="413"/>
      <c r="D913" s="414"/>
      <c r="E913" s="414"/>
      <c r="F913" s="414"/>
      <c r="G913" s="414"/>
      <c r="H913" s="413"/>
      <c r="I913" s="413"/>
      <c r="J913" s="413"/>
      <c r="K913" s="413"/>
      <c r="L913" s="413"/>
      <c r="M913" s="413"/>
      <c r="N913" s="413"/>
      <c r="O913" s="413"/>
      <c r="P913" s="413"/>
      <c r="Q913" s="413"/>
      <c r="R913" s="413"/>
      <c r="S913" s="413"/>
      <c r="T913" s="413"/>
      <c r="U913" s="413"/>
      <c r="V913" s="413"/>
      <c r="W913" s="413"/>
      <c r="X913" s="413"/>
      <c r="Y913" s="413"/>
      <c r="Z913" s="413"/>
    </row>
    <row r="914" ht="12.0" customHeight="1">
      <c r="A914" s="413"/>
      <c r="B914" s="413"/>
      <c r="C914" s="413"/>
      <c r="D914" s="414"/>
      <c r="E914" s="414"/>
      <c r="F914" s="414"/>
      <c r="G914" s="414"/>
      <c r="H914" s="413"/>
      <c r="I914" s="413"/>
      <c r="J914" s="413"/>
      <c r="K914" s="413"/>
      <c r="L914" s="413"/>
      <c r="M914" s="413"/>
      <c r="N914" s="413"/>
      <c r="O914" s="413"/>
      <c r="P914" s="413"/>
      <c r="Q914" s="413"/>
      <c r="R914" s="413"/>
      <c r="S914" s="413"/>
      <c r="T914" s="413"/>
      <c r="U914" s="413"/>
      <c r="V914" s="413"/>
      <c r="W914" s="413"/>
      <c r="X914" s="413"/>
      <c r="Y914" s="413"/>
      <c r="Z914" s="413"/>
    </row>
    <row r="915" ht="12.0" customHeight="1">
      <c r="A915" s="413"/>
      <c r="B915" s="413"/>
      <c r="C915" s="413"/>
      <c r="D915" s="414"/>
      <c r="E915" s="414"/>
      <c r="F915" s="414"/>
      <c r="G915" s="414"/>
      <c r="H915" s="413"/>
      <c r="I915" s="413"/>
      <c r="J915" s="413"/>
      <c r="K915" s="413"/>
      <c r="L915" s="413"/>
      <c r="M915" s="413"/>
      <c r="N915" s="413"/>
      <c r="O915" s="413"/>
      <c r="P915" s="413"/>
      <c r="Q915" s="413"/>
      <c r="R915" s="413"/>
      <c r="S915" s="413"/>
      <c r="T915" s="413"/>
      <c r="U915" s="413"/>
      <c r="V915" s="413"/>
      <c r="W915" s="413"/>
      <c r="X915" s="413"/>
      <c r="Y915" s="413"/>
      <c r="Z915" s="413"/>
    </row>
    <row r="916" ht="12.0" customHeight="1">
      <c r="A916" s="413"/>
      <c r="B916" s="413"/>
      <c r="C916" s="413"/>
      <c r="D916" s="414"/>
      <c r="E916" s="414"/>
      <c r="F916" s="414"/>
      <c r="G916" s="414"/>
      <c r="H916" s="413"/>
      <c r="I916" s="413"/>
      <c r="J916" s="413"/>
      <c r="K916" s="413"/>
      <c r="L916" s="413"/>
      <c r="M916" s="413"/>
      <c r="N916" s="413"/>
      <c r="O916" s="413"/>
      <c r="P916" s="413"/>
      <c r="Q916" s="413"/>
      <c r="R916" s="413"/>
      <c r="S916" s="413"/>
      <c r="T916" s="413"/>
      <c r="U916" s="413"/>
      <c r="V916" s="413"/>
      <c r="W916" s="413"/>
      <c r="X916" s="413"/>
      <c r="Y916" s="413"/>
      <c r="Z916" s="413"/>
    </row>
    <row r="917" ht="12.0" customHeight="1">
      <c r="A917" s="413"/>
      <c r="B917" s="413"/>
      <c r="C917" s="413"/>
      <c r="D917" s="414"/>
      <c r="E917" s="414"/>
      <c r="F917" s="414"/>
      <c r="G917" s="414"/>
      <c r="H917" s="413"/>
      <c r="I917" s="413"/>
      <c r="J917" s="413"/>
      <c r="K917" s="413"/>
      <c r="L917" s="413"/>
      <c r="M917" s="413"/>
      <c r="N917" s="413"/>
      <c r="O917" s="413"/>
      <c r="P917" s="413"/>
      <c r="Q917" s="413"/>
      <c r="R917" s="413"/>
      <c r="S917" s="413"/>
      <c r="T917" s="413"/>
      <c r="U917" s="413"/>
      <c r="V917" s="413"/>
      <c r="W917" s="413"/>
      <c r="X917" s="413"/>
      <c r="Y917" s="413"/>
      <c r="Z917" s="413"/>
    </row>
    <row r="918" ht="12.0" customHeight="1">
      <c r="A918" s="413"/>
      <c r="B918" s="413"/>
      <c r="C918" s="413"/>
      <c r="D918" s="414"/>
      <c r="E918" s="414"/>
      <c r="F918" s="414"/>
      <c r="G918" s="414"/>
      <c r="H918" s="413"/>
      <c r="I918" s="413"/>
      <c r="J918" s="413"/>
      <c r="K918" s="413"/>
      <c r="L918" s="413"/>
      <c r="M918" s="413"/>
      <c r="N918" s="413"/>
      <c r="O918" s="413"/>
      <c r="P918" s="413"/>
      <c r="Q918" s="413"/>
      <c r="R918" s="413"/>
      <c r="S918" s="413"/>
      <c r="T918" s="413"/>
      <c r="U918" s="413"/>
      <c r="V918" s="413"/>
      <c r="W918" s="413"/>
      <c r="X918" s="413"/>
      <c r="Y918" s="413"/>
      <c r="Z918" s="413"/>
    </row>
    <row r="919" ht="12.0" customHeight="1">
      <c r="A919" s="413"/>
      <c r="B919" s="413"/>
      <c r="C919" s="413"/>
      <c r="D919" s="414"/>
      <c r="E919" s="414"/>
      <c r="F919" s="414"/>
      <c r="G919" s="414"/>
      <c r="H919" s="413"/>
      <c r="I919" s="413"/>
      <c r="J919" s="413"/>
      <c r="K919" s="413"/>
      <c r="L919" s="413"/>
      <c r="M919" s="413"/>
      <c r="N919" s="413"/>
      <c r="O919" s="413"/>
      <c r="P919" s="413"/>
      <c r="Q919" s="413"/>
      <c r="R919" s="413"/>
      <c r="S919" s="413"/>
      <c r="T919" s="413"/>
      <c r="U919" s="413"/>
      <c r="V919" s="413"/>
      <c r="W919" s="413"/>
      <c r="X919" s="413"/>
      <c r="Y919" s="413"/>
      <c r="Z919" s="413"/>
    </row>
    <row r="920" ht="12.0" customHeight="1">
      <c r="A920" s="413"/>
      <c r="B920" s="413"/>
      <c r="C920" s="413"/>
      <c r="D920" s="414"/>
      <c r="E920" s="414"/>
      <c r="F920" s="414"/>
      <c r="G920" s="414"/>
      <c r="H920" s="413"/>
      <c r="I920" s="413"/>
      <c r="J920" s="413"/>
      <c r="K920" s="413"/>
      <c r="L920" s="413"/>
      <c r="M920" s="413"/>
      <c r="N920" s="413"/>
      <c r="O920" s="413"/>
      <c r="P920" s="413"/>
      <c r="Q920" s="413"/>
      <c r="R920" s="413"/>
      <c r="S920" s="413"/>
      <c r="T920" s="413"/>
      <c r="U920" s="413"/>
      <c r="V920" s="413"/>
      <c r="W920" s="413"/>
      <c r="X920" s="413"/>
      <c r="Y920" s="413"/>
      <c r="Z920" s="413"/>
    </row>
    <row r="921" ht="12.0" customHeight="1">
      <c r="A921" s="413"/>
      <c r="B921" s="413"/>
      <c r="C921" s="413"/>
      <c r="D921" s="414"/>
      <c r="E921" s="414"/>
      <c r="F921" s="414"/>
      <c r="G921" s="414"/>
      <c r="H921" s="413"/>
      <c r="I921" s="413"/>
      <c r="J921" s="413"/>
      <c r="K921" s="413"/>
      <c r="L921" s="413"/>
      <c r="M921" s="413"/>
      <c r="N921" s="413"/>
      <c r="O921" s="413"/>
      <c r="P921" s="413"/>
      <c r="Q921" s="413"/>
      <c r="R921" s="413"/>
      <c r="S921" s="413"/>
      <c r="T921" s="413"/>
      <c r="U921" s="413"/>
      <c r="V921" s="413"/>
      <c r="W921" s="413"/>
      <c r="X921" s="413"/>
      <c r="Y921" s="413"/>
      <c r="Z921" s="413"/>
    </row>
    <row r="922" ht="12.0" customHeight="1">
      <c r="A922" s="413"/>
      <c r="B922" s="413"/>
      <c r="C922" s="413"/>
      <c r="D922" s="414"/>
      <c r="E922" s="414"/>
      <c r="F922" s="414"/>
      <c r="G922" s="414"/>
      <c r="H922" s="413"/>
      <c r="I922" s="413"/>
      <c r="J922" s="413"/>
      <c r="K922" s="413"/>
      <c r="L922" s="413"/>
      <c r="M922" s="413"/>
      <c r="N922" s="413"/>
      <c r="O922" s="413"/>
      <c r="P922" s="413"/>
      <c r="Q922" s="413"/>
      <c r="R922" s="413"/>
      <c r="S922" s="413"/>
      <c r="T922" s="413"/>
      <c r="U922" s="413"/>
      <c r="V922" s="413"/>
      <c r="W922" s="413"/>
      <c r="X922" s="413"/>
      <c r="Y922" s="413"/>
      <c r="Z922" s="413"/>
    </row>
    <row r="923" ht="12.0" customHeight="1">
      <c r="A923" s="413"/>
      <c r="B923" s="413"/>
      <c r="C923" s="413"/>
      <c r="D923" s="414"/>
      <c r="E923" s="414"/>
      <c r="F923" s="414"/>
      <c r="G923" s="414"/>
      <c r="H923" s="413"/>
      <c r="I923" s="413"/>
      <c r="J923" s="413"/>
      <c r="K923" s="413"/>
      <c r="L923" s="413"/>
      <c r="M923" s="413"/>
      <c r="N923" s="413"/>
      <c r="O923" s="413"/>
      <c r="P923" s="413"/>
      <c r="Q923" s="413"/>
      <c r="R923" s="413"/>
      <c r="S923" s="413"/>
      <c r="T923" s="413"/>
      <c r="U923" s="413"/>
      <c r="V923" s="413"/>
      <c r="W923" s="413"/>
      <c r="X923" s="413"/>
      <c r="Y923" s="413"/>
      <c r="Z923" s="413"/>
    </row>
    <row r="924" ht="12.0" customHeight="1">
      <c r="A924" s="413"/>
      <c r="B924" s="413"/>
      <c r="C924" s="413"/>
      <c r="D924" s="414"/>
      <c r="E924" s="414"/>
      <c r="F924" s="414"/>
      <c r="G924" s="414"/>
      <c r="H924" s="413"/>
      <c r="I924" s="413"/>
      <c r="J924" s="413"/>
      <c r="K924" s="413"/>
      <c r="L924" s="413"/>
      <c r="M924" s="413"/>
      <c r="N924" s="413"/>
      <c r="O924" s="413"/>
      <c r="P924" s="413"/>
      <c r="Q924" s="413"/>
      <c r="R924" s="413"/>
      <c r="S924" s="413"/>
      <c r="T924" s="413"/>
      <c r="U924" s="413"/>
      <c r="V924" s="413"/>
      <c r="W924" s="413"/>
      <c r="X924" s="413"/>
      <c r="Y924" s="413"/>
      <c r="Z924" s="413"/>
    </row>
    <row r="925" ht="12.0" customHeight="1">
      <c r="A925" s="413"/>
      <c r="B925" s="413"/>
      <c r="C925" s="413"/>
      <c r="D925" s="414"/>
      <c r="E925" s="414"/>
      <c r="F925" s="414"/>
      <c r="G925" s="414"/>
      <c r="H925" s="413"/>
      <c r="I925" s="413"/>
      <c r="J925" s="413"/>
      <c r="K925" s="413"/>
      <c r="L925" s="413"/>
      <c r="M925" s="413"/>
      <c r="N925" s="413"/>
      <c r="O925" s="413"/>
      <c r="P925" s="413"/>
      <c r="Q925" s="413"/>
      <c r="R925" s="413"/>
      <c r="S925" s="413"/>
      <c r="T925" s="413"/>
      <c r="U925" s="413"/>
      <c r="V925" s="413"/>
      <c r="W925" s="413"/>
      <c r="X925" s="413"/>
      <c r="Y925" s="413"/>
      <c r="Z925" s="413"/>
    </row>
    <row r="926" ht="12.0" customHeight="1">
      <c r="A926" s="413"/>
      <c r="B926" s="413"/>
      <c r="C926" s="413"/>
      <c r="D926" s="414"/>
      <c r="E926" s="414"/>
      <c r="F926" s="414"/>
      <c r="G926" s="414"/>
      <c r="H926" s="413"/>
      <c r="I926" s="413"/>
      <c r="J926" s="413"/>
      <c r="K926" s="413"/>
      <c r="L926" s="413"/>
      <c r="M926" s="413"/>
      <c r="N926" s="413"/>
      <c r="O926" s="413"/>
      <c r="P926" s="413"/>
      <c r="Q926" s="413"/>
      <c r="R926" s="413"/>
      <c r="S926" s="413"/>
      <c r="T926" s="413"/>
      <c r="U926" s="413"/>
      <c r="V926" s="413"/>
      <c r="W926" s="413"/>
      <c r="X926" s="413"/>
      <c r="Y926" s="413"/>
      <c r="Z926" s="413"/>
    </row>
    <row r="927" ht="12.0" customHeight="1">
      <c r="A927" s="413"/>
      <c r="B927" s="413"/>
      <c r="C927" s="413"/>
      <c r="D927" s="414"/>
      <c r="E927" s="414"/>
      <c r="F927" s="414"/>
      <c r="G927" s="414"/>
      <c r="H927" s="413"/>
      <c r="I927" s="413"/>
      <c r="J927" s="413"/>
      <c r="K927" s="413"/>
      <c r="L927" s="413"/>
      <c r="M927" s="413"/>
      <c r="N927" s="413"/>
      <c r="O927" s="413"/>
      <c r="P927" s="413"/>
      <c r="Q927" s="413"/>
      <c r="R927" s="413"/>
      <c r="S927" s="413"/>
      <c r="T927" s="413"/>
      <c r="U927" s="413"/>
      <c r="V927" s="413"/>
      <c r="W927" s="413"/>
      <c r="X927" s="413"/>
      <c r="Y927" s="413"/>
      <c r="Z927" s="413"/>
    </row>
    <row r="928" ht="12.0" customHeight="1">
      <c r="A928" s="413"/>
      <c r="B928" s="413"/>
      <c r="C928" s="413"/>
      <c r="D928" s="414"/>
      <c r="E928" s="414"/>
      <c r="F928" s="414"/>
      <c r="G928" s="414"/>
      <c r="H928" s="413"/>
      <c r="I928" s="413"/>
      <c r="J928" s="413"/>
      <c r="K928" s="413"/>
      <c r="L928" s="413"/>
      <c r="M928" s="413"/>
      <c r="N928" s="413"/>
      <c r="O928" s="413"/>
      <c r="P928" s="413"/>
      <c r="Q928" s="413"/>
      <c r="R928" s="413"/>
      <c r="S928" s="413"/>
      <c r="T928" s="413"/>
      <c r="U928" s="413"/>
      <c r="V928" s="413"/>
      <c r="W928" s="413"/>
      <c r="X928" s="413"/>
      <c r="Y928" s="413"/>
      <c r="Z928" s="413"/>
    </row>
    <row r="929" ht="12.0" customHeight="1">
      <c r="A929" s="413"/>
      <c r="B929" s="413"/>
      <c r="C929" s="413"/>
      <c r="D929" s="414"/>
      <c r="E929" s="414"/>
      <c r="F929" s="414"/>
      <c r="G929" s="414"/>
      <c r="H929" s="413"/>
      <c r="I929" s="413"/>
      <c r="J929" s="413"/>
      <c r="K929" s="413"/>
      <c r="L929" s="413"/>
      <c r="M929" s="413"/>
      <c r="N929" s="413"/>
      <c r="O929" s="413"/>
      <c r="P929" s="413"/>
      <c r="Q929" s="413"/>
      <c r="R929" s="413"/>
      <c r="S929" s="413"/>
      <c r="T929" s="413"/>
      <c r="U929" s="413"/>
      <c r="V929" s="413"/>
      <c r="W929" s="413"/>
      <c r="X929" s="413"/>
      <c r="Y929" s="413"/>
      <c r="Z929" s="413"/>
    </row>
    <row r="930" ht="12.0" customHeight="1">
      <c r="A930" s="413"/>
      <c r="B930" s="413"/>
      <c r="C930" s="413"/>
      <c r="D930" s="414"/>
      <c r="E930" s="414"/>
      <c r="F930" s="414"/>
      <c r="G930" s="414"/>
      <c r="H930" s="413"/>
      <c r="I930" s="413"/>
      <c r="J930" s="413"/>
      <c r="K930" s="413"/>
      <c r="L930" s="413"/>
      <c r="M930" s="413"/>
      <c r="N930" s="413"/>
      <c r="O930" s="413"/>
      <c r="P930" s="413"/>
      <c r="Q930" s="413"/>
      <c r="R930" s="413"/>
      <c r="S930" s="413"/>
      <c r="T930" s="413"/>
      <c r="U930" s="413"/>
      <c r="V930" s="413"/>
      <c r="W930" s="413"/>
      <c r="X930" s="413"/>
      <c r="Y930" s="413"/>
      <c r="Z930" s="413"/>
    </row>
    <row r="931" ht="12.0" customHeight="1">
      <c r="A931" s="413"/>
      <c r="B931" s="413"/>
      <c r="C931" s="413"/>
      <c r="D931" s="414"/>
      <c r="E931" s="414"/>
      <c r="F931" s="414"/>
      <c r="G931" s="414"/>
      <c r="H931" s="413"/>
      <c r="I931" s="413"/>
      <c r="J931" s="413"/>
      <c r="K931" s="413"/>
      <c r="L931" s="413"/>
      <c r="M931" s="413"/>
      <c r="N931" s="413"/>
      <c r="O931" s="413"/>
      <c r="P931" s="413"/>
      <c r="Q931" s="413"/>
      <c r="R931" s="413"/>
      <c r="S931" s="413"/>
      <c r="T931" s="413"/>
      <c r="U931" s="413"/>
      <c r="V931" s="413"/>
      <c r="W931" s="413"/>
      <c r="X931" s="413"/>
      <c r="Y931" s="413"/>
      <c r="Z931" s="413"/>
    </row>
    <row r="932" ht="12.0" customHeight="1">
      <c r="A932" s="413"/>
      <c r="B932" s="413"/>
      <c r="C932" s="413"/>
      <c r="D932" s="414"/>
      <c r="E932" s="414"/>
      <c r="F932" s="414"/>
      <c r="G932" s="414"/>
      <c r="H932" s="413"/>
      <c r="I932" s="413"/>
      <c r="J932" s="413"/>
      <c r="K932" s="413"/>
      <c r="L932" s="413"/>
      <c r="M932" s="413"/>
      <c r="N932" s="413"/>
      <c r="O932" s="413"/>
      <c r="P932" s="413"/>
      <c r="Q932" s="413"/>
      <c r="R932" s="413"/>
      <c r="S932" s="413"/>
      <c r="T932" s="413"/>
      <c r="U932" s="413"/>
      <c r="V932" s="413"/>
      <c r="W932" s="413"/>
      <c r="X932" s="413"/>
      <c r="Y932" s="413"/>
      <c r="Z932" s="413"/>
    </row>
    <row r="933" ht="12.0" customHeight="1">
      <c r="A933" s="413"/>
      <c r="B933" s="413"/>
      <c r="C933" s="413"/>
      <c r="D933" s="414"/>
      <c r="E933" s="414"/>
      <c r="F933" s="414"/>
      <c r="G933" s="414"/>
      <c r="H933" s="413"/>
      <c r="I933" s="413"/>
      <c r="J933" s="413"/>
      <c r="K933" s="413"/>
      <c r="L933" s="413"/>
      <c r="M933" s="413"/>
      <c r="N933" s="413"/>
      <c r="O933" s="413"/>
      <c r="P933" s="413"/>
      <c r="Q933" s="413"/>
      <c r="R933" s="413"/>
      <c r="S933" s="413"/>
      <c r="T933" s="413"/>
      <c r="U933" s="413"/>
      <c r="V933" s="413"/>
      <c r="W933" s="413"/>
      <c r="X933" s="413"/>
      <c r="Y933" s="413"/>
      <c r="Z933" s="413"/>
    </row>
    <row r="934" ht="12.0" customHeight="1">
      <c r="A934" s="413"/>
      <c r="B934" s="413"/>
      <c r="C934" s="413"/>
      <c r="D934" s="414"/>
      <c r="E934" s="414"/>
      <c r="F934" s="414"/>
      <c r="G934" s="414"/>
      <c r="H934" s="413"/>
      <c r="I934" s="413"/>
      <c r="J934" s="413"/>
      <c r="K934" s="413"/>
      <c r="L934" s="413"/>
      <c r="M934" s="413"/>
      <c r="N934" s="413"/>
      <c r="O934" s="413"/>
      <c r="P934" s="413"/>
      <c r="Q934" s="413"/>
      <c r="R934" s="413"/>
      <c r="S934" s="413"/>
      <c r="T934" s="413"/>
      <c r="U934" s="413"/>
      <c r="V934" s="413"/>
      <c r="W934" s="413"/>
      <c r="X934" s="413"/>
      <c r="Y934" s="413"/>
      <c r="Z934" s="413"/>
    </row>
    <row r="935" ht="12.0" customHeight="1">
      <c r="A935" s="413"/>
      <c r="B935" s="413"/>
      <c r="C935" s="413"/>
      <c r="D935" s="414"/>
      <c r="E935" s="414"/>
      <c r="F935" s="414"/>
      <c r="G935" s="414"/>
      <c r="H935" s="413"/>
      <c r="I935" s="413"/>
      <c r="J935" s="413"/>
      <c r="K935" s="413"/>
      <c r="L935" s="413"/>
      <c r="M935" s="413"/>
      <c r="N935" s="413"/>
      <c r="O935" s="413"/>
      <c r="P935" s="413"/>
      <c r="Q935" s="413"/>
      <c r="R935" s="413"/>
      <c r="S935" s="413"/>
      <c r="T935" s="413"/>
      <c r="U935" s="413"/>
      <c r="V935" s="413"/>
      <c r="W935" s="413"/>
      <c r="X935" s="413"/>
      <c r="Y935" s="413"/>
      <c r="Z935" s="413"/>
    </row>
    <row r="936" ht="12.0" customHeight="1">
      <c r="A936" s="413"/>
      <c r="B936" s="413"/>
      <c r="C936" s="413"/>
      <c r="D936" s="414"/>
      <c r="E936" s="414"/>
      <c r="F936" s="414"/>
      <c r="G936" s="414"/>
      <c r="H936" s="413"/>
      <c r="I936" s="413"/>
      <c r="J936" s="413"/>
      <c r="K936" s="413"/>
      <c r="L936" s="413"/>
      <c r="M936" s="413"/>
      <c r="N936" s="413"/>
      <c r="O936" s="413"/>
      <c r="P936" s="413"/>
      <c r="Q936" s="413"/>
      <c r="R936" s="413"/>
      <c r="S936" s="413"/>
      <c r="T936" s="413"/>
      <c r="U936" s="413"/>
      <c r="V936" s="413"/>
      <c r="W936" s="413"/>
      <c r="X936" s="413"/>
      <c r="Y936" s="413"/>
      <c r="Z936" s="413"/>
    </row>
    <row r="937" ht="12.0" customHeight="1">
      <c r="A937" s="413"/>
      <c r="B937" s="413"/>
      <c r="C937" s="413"/>
      <c r="D937" s="414"/>
      <c r="E937" s="414"/>
      <c r="F937" s="414"/>
      <c r="G937" s="414"/>
      <c r="H937" s="413"/>
      <c r="I937" s="413"/>
      <c r="J937" s="413"/>
      <c r="K937" s="413"/>
      <c r="L937" s="413"/>
      <c r="M937" s="413"/>
      <c r="N937" s="413"/>
      <c r="O937" s="413"/>
      <c r="P937" s="413"/>
      <c r="Q937" s="413"/>
      <c r="R937" s="413"/>
      <c r="S937" s="413"/>
      <c r="T937" s="413"/>
      <c r="U937" s="413"/>
      <c r="V937" s="413"/>
      <c r="W937" s="413"/>
      <c r="X937" s="413"/>
      <c r="Y937" s="413"/>
      <c r="Z937" s="413"/>
    </row>
    <row r="938" ht="12.0" customHeight="1">
      <c r="A938" s="413"/>
      <c r="B938" s="413"/>
      <c r="C938" s="413"/>
      <c r="D938" s="414"/>
      <c r="E938" s="414"/>
      <c r="F938" s="414"/>
      <c r="G938" s="414"/>
      <c r="H938" s="413"/>
      <c r="I938" s="413"/>
      <c r="J938" s="413"/>
      <c r="K938" s="413"/>
      <c r="L938" s="413"/>
      <c r="M938" s="413"/>
      <c r="N938" s="413"/>
      <c r="O938" s="413"/>
      <c r="P938" s="413"/>
      <c r="Q938" s="413"/>
      <c r="R938" s="413"/>
      <c r="S938" s="413"/>
      <c r="T938" s="413"/>
      <c r="U938" s="413"/>
      <c r="V938" s="413"/>
      <c r="W938" s="413"/>
      <c r="X938" s="413"/>
      <c r="Y938" s="413"/>
      <c r="Z938" s="413"/>
    </row>
    <row r="939" ht="12.0" customHeight="1">
      <c r="A939" s="413"/>
      <c r="B939" s="413"/>
      <c r="C939" s="413"/>
      <c r="D939" s="414"/>
      <c r="E939" s="414"/>
      <c r="F939" s="414"/>
      <c r="G939" s="414"/>
      <c r="H939" s="413"/>
      <c r="I939" s="413"/>
      <c r="J939" s="413"/>
      <c r="K939" s="413"/>
      <c r="L939" s="413"/>
      <c r="M939" s="413"/>
      <c r="N939" s="413"/>
      <c r="O939" s="413"/>
      <c r="P939" s="413"/>
      <c r="Q939" s="413"/>
      <c r="R939" s="413"/>
      <c r="S939" s="413"/>
      <c r="T939" s="413"/>
      <c r="U939" s="413"/>
      <c r="V939" s="413"/>
      <c r="W939" s="413"/>
      <c r="X939" s="413"/>
      <c r="Y939" s="413"/>
      <c r="Z939" s="413"/>
    </row>
    <row r="940" ht="12.0" customHeight="1">
      <c r="A940" s="413"/>
      <c r="B940" s="413"/>
      <c r="C940" s="413"/>
      <c r="D940" s="414"/>
      <c r="E940" s="414"/>
      <c r="F940" s="414"/>
      <c r="G940" s="414"/>
      <c r="H940" s="413"/>
      <c r="I940" s="413"/>
      <c r="J940" s="413"/>
      <c r="K940" s="413"/>
      <c r="L940" s="413"/>
      <c r="M940" s="413"/>
      <c r="N940" s="413"/>
      <c r="O940" s="413"/>
      <c r="P940" s="413"/>
      <c r="Q940" s="413"/>
      <c r="R940" s="413"/>
      <c r="S940" s="413"/>
      <c r="T940" s="413"/>
      <c r="U940" s="413"/>
      <c r="V940" s="413"/>
      <c r="W940" s="413"/>
      <c r="X940" s="413"/>
      <c r="Y940" s="413"/>
      <c r="Z940" s="413"/>
    </row>
    <row r="941" ht="12.0" customHeight="1">
      <c r="A941" s="413"/>
      <c r="B941" s="413"/>
      <c r="C941" s="413"/>
      <c r="D941" s="414"/>
      <c r="E941" s="414"/>
      <c r="F941" s="414"/>
      <c r="G941" s="414"/>
      <c r="H941" s="413"/>
      <c r="I941" s="413"/>
      <c r="J941" s="413"/>
      <c r="K941" s="413"/>
      <c r="L941" s="413"/>
      <c r="M941" s="413"/>
      <c r="N941" s="413"/>
      <c r="O941" s="413"/>
      <c r="P941" s="413"/>
      <c r="Q941" s="413"/>
      <c r="R941" s="413"/>
      <c r="S941" s="413"/>
      <c r="T941" s="413"/>
      <c r="U941" s="413"/>
      <c r="V941" s="413"/>
      <c r="W941" s="413"/>
      <c r="X941" s="413"/>
      <c r="Y941" s="413"/>
      <c r="Z941" s="413"/>
    </row>
    <row r="942" ht="12.0" customHeight="1">
      <c r="A942" s="413"/>
      <c r="B942" s="413"/>
      <c r="C942" s="413"/>
      <c r="D942" s="414"/>
      <c r="E942" s="414"/>
      <c r="F942" s="414"/>
      <c r="G942" s="414"/>
      <c r="H942" s="413"/>
      <c r="I942" s="413"/>
      <c r="J942" s="413"/>
      <c r="K942" s="413"/>
      <c r="L942" s="413"/>
      <c r="M942" s="413"/>
      <c r="N942" s="413"/>
      <c r="O942" s="413"/>
      <c r="P942" s="413"/>
      <c r="Q942" s="413"/>
      <c r="R942" s="413"/>
      <c r="S942" s="413"/>
      <c r="T942" s="413"/>
      <c r="U942" s="413"/>
      <c r="V942" s="413"/>
      <c r="W942" s="413"/>
      <c r="X942" s="413"/>
      <c r="Y942" s="413"/>
      <c r="Z942" s="413"/>
    </row>
    <row r="943" ht="12.0" customHeight="1">
      <c r="A943" s="413"/>
      <c r="B943" s="413"/>
      <c r="C943" s="413"/>
      <c r="D943" s="414"/>
      <c r="E943" s="414"/>
      <c r="F943" s="414"/>
      <c r="G943" s="414"/>
      <c r="H943" s="413"/>
      <c r="I943" s="413"/>
      <c r="J943" s="413"/>
      <c r="K943" s="413"/>
      <c r="L943" s="413"/>
      <c r="M943" s="413"/>
      <c r="N943" s="413"/>
      <c r="O943" s="413"/>
      <c r="P943" s="413"/>
      <c r="Q943" s="413"/>
      <c r="R943" s="413"/>
      <c r="S943" s="413"/>
      <c r="T943" s="413"/>
      <c r="U943" s="413"/>
      <c r="V943" s="413"/>
      <c r="W943" s="413"/>
      <c r="X943" s="413"/>
      <c r="Y943" s="413"/>
      <c r="Z943" s="413"/>
    </row>
    <row r="944" ht="12.0" customHeight="1">
      <c r="A944" s="413"/>
      <c r="B944" s="413"/>
      <c r="C944" s="413"/>
      <c r="D944" s="414"/>
      <c r="E944" s="414"/>
      <c r="F944" s="414"/>
      <c r="G944" s="414"/>
      <c r="H944" s="413"/>
      <c r="I944" s="413"/>
      <c r="J944" s="413"/>
      <c r="K944" s="413"/>
      <c r="L944" s="413"/>
      <c r="M944" s="413"/>
      <c r="N944" s="413"/>
      <c r="O944" s="413"/>
      <c r="P944" s="413"/>
      <c r="Q944" s="413"/>
      <c r="R944" s="413"/>
      <c r="S944" s="413"/>
      <c r="T944" s="413"/>
      <c r="U944" s="413"/>
      <c r="V944" s="413"/>
      <c r="W944" s="413"/>
      <c r="X944" s="413"/>
      <c r="Y944" s="413"/>
      <c r="Z944" s="413"/>
    </row>
    <row r="945" ht="12.0" customHeight="1">
      <c r="A945" s="413"/>
      <c r="B945" s="413"/>
      <c r="C945" s="413"/>
      <c r="D945" s="414"/>
      <c r="E945" s="414"/>
      <c r="F945" s="414"/>
      <c r="G945" s="414"/>
      <c r="H945" s="413"/>
      <c r="I945" s="413"/>
      <c r="J945" s="413"/>
      <c r="K945" s="413"/>
      <c r="L945" s="413"/>
      <c r="M945" s="413"/>
      <c r="N945" s="413"/>
      <c r="O945" s="413"/>
      <c r="P945" s="413"/>
      <c r="Q945" s="413"/>
      <c r="R945" s="413"/>
      <c r="S945" s="413"/>
      <c r="T945" s="413"/>
      <c r="U945" s="413"/>
      <c r="V945" s="413"/>
      <c r="W945" s="413"/>
      <c r="X945" s="413"/>
      <c r="Y945" s="413"/>
      <c r="Z945" s="413"/>
    </row>
    <row r="946" ht="12.0" customHeight="1">
      <c r="A946" s="413"/>
      <c r="B946" s="413"/>
      <c r="C946" s="413"/>
      <c r="D946" s="414"/>
      <c r="E946" s="414"/>
      <c r="F946" s="414"/>
      <c r="G946" s="414"/>
      <c r="H946" s="413"/>
      <c r="I946" s="413"/>
      <c r="J946" s="413"/>
      <c r="K946" s="413"/>
      <c r="L946" s="413"/>
      <c r="M946" s="413"/>
      <c r="N946" s="413"/>
      <c r="O946" s="413"/>
      <c r="P946" s="413"/>
      <c r="Q946" s="413"/>
      <c r="R946" s="413"/>
      <c r="S946" s="413"/>
      <c r="T946" s="413"/>
      <c r="U946" s="413"/>
      <c r="V946" s="413"/>
      <c r="W946" s="413"/>
      <c r="X946" s="413"/>
      <c r="Y946" s="413"/>
      <c r="Z946" s="413"/>
    </row>
    <row r="947" ht="12.0" customHeight="1">
      <c r="A947" s="413"/>
      <c r="B947" s="413"/>
      <c r="C947" s="413"/>
      <c r="D947" s="414"/>
      <c r="E947" s="414"/>
      <c r="F947" s="414"/>
      <c r="G947" s="414"/>
      <c r="H947" s="413"/>
      <c r="I947" s="413"/>
      <c r="J947" s="413"/>
      <c r="K947" s="413"/>
      <c r="L947" s="413"/>
      <c r="M947" s="413"/>
      <c r="N947" s="413"/>
      <c r="O947" s="413"/>
      <c r="P947" s="413"/>
      <c r="Q947" s="413"/>
      <c r="R947" s="413"/>
      <c r="S947" s="413"/>
      <c r="T947" s="413"/>
      <c r="U947" s="413"/>
      <c r="V947" s="413"/>
      <c r="W947" s="413"/>
      <c r="X947" s="413"/>
      <c r="Y947" s="413"/>
      <c r="Z947" s="413"/>
    </row>
    <row r="948" ht="12.0" customHeight="1">
      <c r="A948" s="413"/>
      <c r="B948" s="413"/>
      <c r="C948" s="413"/>
      <c r="D948" s="414"/>
      <c r="E948" s="414"/>
      <c r="F948" s="414"/>
      <c r="G948" s="414"/>
      <c r="H948" s="413"/>
      <c r="I948" s="413"/>
      <c r="J948" s="413"/>
      <c r="K948" s="413"/>
      <c r="L948" s="413"/>
      <c r="M948" s="413"/>
      <c r="N948" s="413"/>
      <c r="O948" s="413"/>
      <c r="P948" s="413"/>
      <c r="Q948" s="413"/>
      <c r="R948" s="413"/>
      <c r="S948" s="413"/>
      <c r="T948" s="413"/>
      <c r="U948" s="413"/>
      <c r="V948" s="413"/>
      <c r="W948" s="413"/>
      <c r="X948" s="413"/>
      <c r="Y948" s="413"/>
      <c r="Z948" s="413"/>
    </row>
    <row r="949" ht="12.0" customHeight="1">
      <c r="A949" s="413"/>
      <c r="B949" s="413"/>
      <c r="C949" s="413"/>
      <c r="D949" s="414"/>
      <c r="E949" s="414"/>
      <c r="F949" s="414"/>
      <c r="G949" s="414"/>
      <c r="H949" s="413"/>
      <c r="I949" s="413"/>
      <c r="J949" s="413"/>
      <c r="K949" s="413"/>
      <c r="L949" s="413"/>
      <c r="M949" s="413"/>
      <c r="N949" s="413"/>
      <c r="O949" s="413"/>
      <c r="P949" s="413"/>
      <c r="Q949" s="413"/>
      <c r="R949" s="413"/>
      <c r="S949" s="413"/>
      <c r="T949" s="413"/>
      <c r="U949" s="413"/>
      <c r="V949" s="413"/>
      <c r="W949" s="413"/>
      <c r="X949" s="413"/>
      <c r="Y949" s="413"/>
      <c r="Z949" s="413"/>
    </row>
    <row r="950" ht="12.0" customHeight="1">
      <c r="A950" s="413"/>
      <c r="B950" s="413"/>
      <c r="C950" s="413"/>
      <c r="D950" s="414"/>
      <c r="E950" s="414"/>
      <c r="F950" s="414"/>
      <c r="G950" s="414"/>
      <c r="H950" s="413"/>
      <c r="I950" s="413"/>
      <c r="J950" s="413"/>
      <c r="K950" s="413"/>
      <c r="L950" s="413"/>
      <c r="M950" s="413"/>
      <c r="N950" s="413"/>
      <c r="O950" s="413"/>
      <c r="P950" s="413"/>
      <c r="Q950" s="413"/>
      <c r="R950" s="413"/>
      <c r="S950" s="413"/>
      <c r="T950" s="413"/>
      <c r="U950" s="413"/>
      <c r="V950" s="413"/>
      <c r="W950" s="413"/>
      <c r="X950" s="413"/>
      <c r="Y950" s="413"/>
      <c r="Z950" s="413"/>
    </row>
    <row r="951" ht="12.0" customHeight="1">
      <c r="A951" s="413"/>
      <c r="B951" s="413"/>
      <c r="C951" s="413"/>
      <c r="D951" s="414"/>
      <c r="E951" s="414"/>
      <c r="F951" s="414"/>
      <c r="G951" s="414"/>
      <c r="H951" s="413"/>
      <c r="I951" s="413"/>
      <c r="J951" s="413"/>
      <c r="K951" s="413"/>
      <c r="L951" s="413"/>
      <c r="M951" s="413"/>
      <c r="N951" s="413"/>
      <c r="O951" s="413"/>
      <c r="P951" s="413"/>
      <c r="Q951" s="413"/>
      <c r="R951" s="413"/>
      <c r="S951" s="413"/>
      <c r="T951" s="413"/>
      <c r="U951" s="413"/>
      <c r="V951" s="413"/>
      <c r="W951" s="413"/>
      <c r="X951" s="413"/>
      <c r="Y951" s="413"/>
      <c r="Z951" s="413"/>
    </row>
    <row r="952" ht="12.0" customHeight="1">
      <c r="A952" s="413"/>
      <c r="B952" s="413"/>
      <c r="C952" s="413"/>
      <c r="D952" s="414"/>
      <c r="E952" s="414"/>
      <c r="F952" s="414"/>
      <c r="G952" s="414"/>
      <c r="H952" s="413"/>
      <c r="I952" s="413"/>
      <c r="J952" s="413"/>
      <c r="K952" s="413"/>
      <c r="L952" s="413"/>
      <c r="M952" s="413"/>
      <c r="N952" s="413"/>
      <c r="O952" s="413"/>
      <c r="P952" s="413"/>
      <c r="Q952" s="413"/>
      <c r="R952" s="413"/>
      <c r="S952" s="413"/>
      <c r="T952" s="413"/>
      <c r="U952" s="413"/>
      <c r="V952" s="413"/>
      <c r="W952" s="413"/>
      <c r="X952" s="413"/>
      <c r="Y952" s="413"/>
      <c r="Z952" s="413"/>
    </row>
    <row r="953" ht="12.0" customHeight="1">
      <c r="A953" s="413"/>
      <c r="B953" s="413"/>
      <c r="C953" s="413"/>
      <c r="D953" s="414"/>
      <c r="E953" s="414"/>
      <c r="F953" s="414"/>
      <c r="G953" s="414"/>
      <c r="H953" s="413"/>
      <c r="I953" s="413"/>
      <c r="J953" s="413"/>
      <c r="K953" s="413"/>
      <c r="L953" s="413"/>
      <c r="M953" s="413"/>
      <c r="N953" s="413"/>
      <c r="O953" s="413"/>
      <c r="P953" s="413"/>
      <c r="Q953" s="413"/>
      <c r="R953" s="413"/>
      <c r="S953" s="413"/>
      <c r="T953" s="413"/>
      <c r="U953" s="413"/>
      <c r="V953" s="413"/>
      <c r="W953" s="413"/>
      <c r="X953" s="413"/>
      <c r="Y953" s="413"/>
      <c r="Z953" s="413"/>
    </row>
    <row r="954" ht="12.0" customHeight="1">
      <c r="A954" s="413"/>
      <c r="B954" s="413"/>
      <c r="C954" s="413"/>
      <c r="D954" s="414"/>
      <c r="E954" s="414"/>
      <c r="F954" s="414"/>
      <c r="G954" s="414"/>
      <c r="H954" s="413"/>
      <c r="I954" s="413"/>
      <c r="J954" s="413"/>
      <c r="K954" s="413"/>
      <c r="L954" s="413"/>
      <c r="M954" s="413"/>
      <c r="N954" s="413"/>
      <c r="O954" s="413"/>
      <c r="P954" s="413"/>
      <c r="Q954" s="413"/>
      <c r="R954" s="413"/>
      <c r="S954" s="413"/>
      <c r="T954" s="413"/>
      <c r="U954" s="413"/>
      <c r="V954" s="413"/>
      <c r="W954" s="413"/>
      <c r="X954" s="413"/>
      <c r="Y954" s="413"/>
      <c r="Z954" s="413"/>
    </row>
    <row r="955" ht="12.0" customHeight="1">
      <c r="A955" s="413"/>
      <c r="B955" s="413"/>
      <c r="C955" s="413"/>
      <c r="D955" s="414"/>
      <c r="E955" s="414"/>
      <c r="F955" s="414"/>
      <c r="G955" s="414"/>
      <c r="H955" s="413"/>
      <c r="I955" s="413"/>
      <c r="J955" s="413"/>
      <c r="K955" s="413"/>
      <c r="L955" s="413"/>
      <c r="M955" s="413"/>
      <c r="N955" s="413"/>
      <c r="O955" s="413"/>
      <c r="P955" s="413"/>
      <c r="Q955" s="413"/>
      <c r="R955" s="413"/>
      <c r="S955" s="413"/>
      <c r="T955" s="413"/>
      <c r="U955" s="413"/>
      <c r="V955" s="413"/>
      <c r="W955" s="413"/>
      <c r="X955" s="413"/>
      <c r="Y955" s="413"/>
      <c r="Z955" s="413"/>
    </row>
    <row r="956" ht="12.0" customHeight="1">
      <c r="A956" s="413"/>
      <c r="B956" s="413"/>
      <c r="C956" s="413"/>
      <c r="D956" s="414"/>
      <c r="E956" s="414"/>
      <c r="F956" s="414"/>
      <c r="G956" s="414"/>
      <c r="H956" s="413"/>
      <c r="I956" s="413"/>
      <c r="J956" s="413"/>
      <c r="K956" s="413"/>
      <c r="L956" s="413"/>
      <c r="M956" s="413"/>
      <c r="N956" s="413"/>
      <c r="O956" s="413"/>
      <c r="P956" s="413"/>
      <c r="Q956" s="413"/>
      <c r="R956" s="413"/>
      <c r="S956" s="413"/>
      <c r="T956" s="413"/>
      <c r="U956" s="413"/>
      <c r="V956" s="413"/>
      <c r="W956" s="413"/>
      <c r="X956" s="413"/>
      <c r="Y956" s="413"/>
      <c r="Z956" s="413"/>
    </row>
    <row r="957" ht="12.0" customHeight="1">
      <c r="A957" s="413"/>
      <c r="B957" s="413"/>
      <c r="C957" s="413"/>
      <c r="D957" s="414"/>
      <c r="E957" s="414"/>
      <c r="F957" s="414"/>
      <c r="G957" s="414"/>
      <c r="H957" s="413"/>
      <c r="I957" s="413"/>
      <c r="J957" s="413"/>
      <c r="K957" s="413"/>
      <c r="L957" s="413"/>
      <c r="M957" s="413"/>
      <c r="N957" s="413"/>
      <c r="O957" s="413"/>
      <c r="P957" s="413"/>
      <c r="Q957" s="413"/>
      <c r="R957" s="413"/>
      <c r="S957" s="413"/>
      <c r="T957" s="413"/>
      <c r="U957" s="413"/>
      <c r="V957" s="413"/>
      <c r="W957" s="413"/>
      <c r="X957" s="413"/>
      <c r="Y957" s="413"/>
      <c r="Z957" s="413"/>
    </row>
    <row r="958" ht="12.0" customHeight="1">
      <c r="A958" s="413"/>
      <c r="B958" s="413"/>
      <c r="C958" s="413"/>
      <c r="D958" s="414"/>
      <c r="E958" s="414"/>
      <c r="F958" s="414"/>
      <c r="G958" s="414"/>
      <c r="H958" s="413"/>
      <c r="I958" s="413"/>
      <c r="J958" s="413"/>
      <c r="K958" s="413"/>
      <c r="L958" s="413"/>
      <c r="M958" s="413"/>
      <c r="N958" s="413"/>
      <c r="O958" s="413"/>
      <c r="P958" s="413"/>
      <c r="Q958" s="413"/>
      <c r="R958" s="413"/>
      <c r="S958" s="413"/>
      <c r="T958" s="413"/>
      <c r="U958" s="413"/>
      <c r="V958" s="413"/>
      <c r="W958" s="413"/>
      <c r="X958" s="413"/>
      <c r="Y958" s="413"/>
      <c r="Z958" s="413"/>
    </row>
    <row r="959" ht="12.0" customHeight="1">
      <c r="A959" s="413"/>
      <c r="B959" s="413"/>
      <c r="C959" s="413"/>
      <c r="D959" s="414"/>
      <c r="E959" s="414"/>
      <c r="F959" s="414"/>
      <c r="G959" s="414"/>
      <c r="H959" s="413"/>
      <c r="I959" s="413"/>
      <c r="J959" s="413"/>
      <c r="K959" s="413"/>
      <c r="L959" s="413"/>
      <c r="M959" s="413"/>
      <c r="N959" s="413"/>
      <c r="O959" s="413"/>
      <c r="P959" s="413"/>
      <c r="Q959" s="413"/>
      <c r="R959" s="413"/>
      <c r="S959" s="413"/>
      <c r="T959" s="413"/>
      <c r="U959" s="413"/>
      <c r="V959" s="413"/>
      <c r="W959" s="413"/>
      <c r="X959" s="413"/>
      <c r="Y959" s="413"/>
      <c r="Z959" s="413"/>
    </row>
    <row r="960" ht="12.0" customHeight="1">
      <c r="A960" s="413"/>
      <c r="B960" s="413"/>
      <c r="C960" s="413"/>
      <c r="D960" s="414"/>
      <c r="E960" s="414"/>
      <c r="F960" s="414"/>
      <c r="G960" s="414"/>
      <c r="H960" s="413"/>
      <c r="I960" s="413"/>
      <c r="J960" s="413"/>
      <c r="K960" s="413"/>
      <c r="L960" s="413"/>
      <c r="M960" s="413"/>
      <c r="N960" s="413"/>
      <c r="O960" s="413"/>
      <c r="P960" s="413"/>
      <c r="Q960" s="413"/>
      <c r="R960" s="413"/>
      <c r="S960" s="413"/>
      <c r="T960" s="413"/>
      <c r="U960" s="413"/>
      <c r="V960" s="413"/>
      <c r="W960" s="413"/>
      <c r="X960" s="413"/>
      <c r="Y960" s="413"/>
      <c r="Z960" s="413"/>
    </row>
    <row r="961" ht="12.0" customHeight="1">
      <c r="A961" s="413"/>
      <c r="B961" s="413"/>
      <c r="C961" s="413"/>
      <c r="D961" s="414"/>
      <c r="E961" s="414"/>
      <c r="F961" s="414"/>
      <c r="G961" s="414"/>
      <c r="H961" s="413"/>
      <c r="I961" s="413"/>
      <c r="J961" s="413"/>
      <c r="K961" s="413"/>
      <c r="L961" s="413"/>
      <c r="M961" s="413"/>
      <c r="N961" s="413"/>
      <c r="O961" s="413"/>
      <c r="P961" s="413"/>
      <c r="Q961" s="413"/>
      <c r="R961" s="413"/>
      <c r="S961" s="413"/>
      <c r="T961" s="413"/>
      <c r="U961" s="413"/>
      <c r="V961" s="413"/>
      <c r="W961" s="413"/>
      <c r="X961" s="413"/>
      <c r="Y961" s="413"/>
      <c r="Z961" s="413"/>
    </row>
    <row r="962" ht="12.0" customHeight="1">
      <c r="A962" s="413"/>
      <c r="B962" s="413"/>
      <c r="C962" s="413"/>
      <c r="D962" s="414"/>
      <c r="E962" s="414"/>
      <c r="F962" s="414"/>
      <c r="G962" s="414"/>
      <c r="H962" s="413"/>
      <c r="I962" s="413"/>
      <c r="J962" s="413"/>
      <c r="K962" s="413"/>
      <c r="L962" s="413"/>
      <c r="M962" s="413"/>
      <c r="N962" s="413"/>
      <c r="O962" s="413"/>
      <c r="P962" s="413"/>
      <c r="Q962" s="413"/>
      <c r="R962" s="413"/>
      <c r="S962" s="413"/>
      <c r="T962" s="413"/>
      <c r="U962" s="413"/>
      <c r="V962" s="413"/>
      <c r="W962" s="413"/>
      <c r="X962" s="413"/>
      <c r="Y962" s="413"/>
      <c r="Z962" s="413"/>
    </row>
    <row r="963" ht="12.0" customHeight="1">
      <c r="A963" s="413"/>
      <c r="B963" s="413"/>
      <c r="C963" s="413"/>
      <c r="D963" s="414"/>
      <c r="E963" s="414"/>
      <c r="F963" s="414"/>
      <c r="G963" s="414"/>
      <c r="H963" s="413"/>
      <c r="I963" s="413"/>
      <c r="J963" s="413"/>
      <c r="K963" s="413"/>
      <c r="L963" s="413"/>
      <c r="M963" s="413"/>
      <c r="N963" s="413"/>
      <c r="O963" s="413"/>
      <c r="P963" s="413"/>
      <c r="Q963" s="413"/>
      <c r="R963" s="413"/>
      <c r="S963" s="413"/>
      <c r="T963" s="413"/>
      <c r="U963" s="413"/>
      <c r="V963" s="413"/>
      <c r="W963" s="413"/>
      <c r="X963" s="413"/>
      <c r="Y963" s="413"/>
      <c r="Z963" s="413"/>
    </row>
    <row r="964" ht="12.0" customHeight="1">
      <c r="A964" s="413"/>
      <c r="B964" s="413"/>
      <c r="C964" s="413"/>
      <c r="D964" s="414"/>
      <c r="E964" s="414"/>
      <c r="F964" s="414"/>
      <c r="G964" s="414"/>
      <c r="H964" s="413"/>
      <c r="I964" s="413"/>
      <c r="J964" s="413"/>
      <c r="K964" s="413"/>
      <c r="L964" s="413"/>
      <c r="M964" s="413"/>
      <c r="N964" s="413"/>
      <c r="O964" s="413"/>
      <c r="P964" s="413"/>
      <c r="Q964" s="413"/>
      <c r="R964" s="413"/>
      <c r="S964" s="413"/>
      <c r="T964" s="413"/>
      <c r="U964" s="413"/>
      <c r="V964" s="413"/>
      <c r="W964" s="413"/>
      <c r="X964" s="413"/>
      <c r="Y964" s="413"/>
      <c r="Z964" s="413"/>
    </row>
    <row r="965" ht="12.0" customHeight="1">
      <c r="A965" s="413"/>
      <c r="B965" s="413"/>
      <c r="C965" s="413"/>
      <c r="D965" s="414"/>
      <c r="E965" s="414"/>
      <c r="F965" s="414"/>
      <c r="G965" s="414"/>
      <c r="H965" s="413"/>
      <c r="I965" s="413"/>
      <c r="J965" s="413"/>
      <c r="K965" s="413"/>
      <c r="L965" s="413"/>
      <c r="M965" s="413"/>
      <c r="N965" s="413"/>
      <c r="O965" s="413"/>
      <c r="P965" s="413"/>
      <c r="Q965" s="413"/>
      <c r="R965" s="413"/>
      <c r="S965" s="413"/>
      <c r="T965" s="413"/>
      <c r="U965" s="413"/>
      <c r="V965" s="413"/>
      <c r="W965" s="413"/>
      <c r="X965" s="413"/>
      <c r="Y965" s="413"/>
      <c r="Z965" s="413"/>
    </row>
    <row r="966" ht="12.0" customHeight="1">
      <c r="A966" s="413"/>
      <c r="B966" s="413"/>
      <c r="C966" s="413"/>
      <c r="D966" s="414"/>
      <c r="E966" s="414"/>
      <c r="F966" s="414"/>
      <c r="G966" s="414"/>
      <c r="H966" s="413"/>
      <c r="I966" s="413"/>
      <c r="J966" s="413"/>
      <c r="K966" s="413"/>
      <c r="L966" s="413"/>
      <c r="M966" s="413"/>
      <c r="N966" s="413"/>
      <c r="O966" s="413"/>
      <c r="P966" s="413"/>
      <c r="Q966" s="413"/>
      <c r="R966" s="413"/>
      <c r="S966" s="413"/>
      <c r="T966" s="413"/>
      <c r="U966" s="413"/>
      <c r="V966" s="413"/>
      <c r="W966" s="413"/>
      <c r="X966" s="413"/>
      <c r="Y966" s="413"/>
      <c r="Z966" s="413"/>
    </row>
    <row r="967" ht="12.0" customHeight="1">
      <c r="A967" s="413"/>
      <c r="B967" s="413"/>
      <c r="C967" s="413"/>
      <c r="D967" s="414"/>
      <c r="E967" s="414"/>
      <c r="F967" s="414"/>
      <c r="G967" s="414"/>
      <c r="H967" s="413"/>
      <c r="I967" s="413"/>
      <c r="J967" s="413"/>
      <c r="K967" s="413"/>
      <c r="L967" s="413"/>
      <c r="M967" s="413"/>
      <c r="N967" s="413"/>
      <c r="O967" s="413"/>
      <c r="P967" s="413"/>
      <c r="Q967" s="413"/>
      <c r="R967" s="413"/>
      <c r="S967" s="413"/>
      <c r="T967" s="413"/>
      <c r="U967" s="413"/>
      <c r="V967" s="413"/>
      <c r="W967" s="413"/>
      <c r="X967" s="413"/>
      <c r="Y967" s="413"/>
      <c r="Z967" s="413"/>
    </row>
    <row r="968" ht="12.0" customHeight="1">
      <c r="A968" s="413"/>
      <c r="B968" s="413"/>
      <c r="C968" s="413"/>
      <c r="D968" s="414"/>
      <c r="E968" s="414"/>
      <c r="F968" s="414"/>
      <c r="G968" s="414"/>
      <c r="H968" s="413"/>
      <c r="I968" s="413"/>
      <c r="J968" s="413"/>
      <c r="K968" s="413"/>
      <c r="L968" s="413"/>
      <c r="M968" s="413"/>
      <c r="N968" s="413"/>
      <c r="O968" s="413"/>
      <c r="P968" s="413"/>
      <c r="Q968" s="413"/>
      <c r="R968" s="413"/>
      <c r="S968" s="413"/>
      <c r="T968" s="413"/>
      <c r="U968" s="413"/>
      <c r="V968" s="413"/>
      <c r="W968" s="413"/>
      <c r="X968" s="413"/>
      <c r="Y968" s="413"/>
      <c r="Z968" s="413"/>
    </row>
    <row r="969" ht="12.0" customHeight="1">
      <c r="A969" s="413"/>
      <c r="B969" s="413"/>
      <c r="C969" s="413"/>
      <c r="D969" s="414"/>
      <c r="E969" s="414"/>
      <c r="F969" s="414"/>
      <c r="G969" s="414"/>
      <c r="H969" s="413"/>
      <c r="I969" s="413"/>
      <c r="J969" s="413"/>
      <c r="K969" s="413"/>
      <c r="L969" s="413"/>
      <c r="M969" s="413"/>
      <c r="N969" s="413"/>
      <c r="O969" s="413"/>
      <c r="P969" s="413"/>
      <c r="Q969" s="413"/>
      <c r="R969" s="413"/>
      <c r="S969" s="413"/>
      <c r="T969" s="413"/>
      <c r="U969" s="413"/>
      <c r="V969" s="413"/>
      <c r="W969" s="413"/>
      <c r="X969" s="413"/>
      <c r="Y969" s="413"/>
      <c r="Z969" s="413"/>
    </row>
    <row r="970" ht="12.0" customHeight="1">
      <c r="A970" s="413"/>
      <c r="B970" s="413"/>
      <c r="C970" s="413"/>
      <c r="D970" s="414"/>
      <c r="E970" s="414"/>
      <c r="F970" s="414"/>
      <c r="G970" s="414"/>
      <c r="H970" s="413"/>
      <c r="I970" s="413"/>
      <c r="J970" s="413"/>
      <c r="K970" s="413"/>
      <c r="L970" s="413"/>
      <c r="M970" s="413"/>
      <c r="N970" s="413"/>
      <c r="O970" s="413"/>
      <c r="P970" s="413"/>
      <c r="Q970" s="413"/>
      <c r="R970" s="413"/>
      <c r="S970" s="413"/>
      <c r="T970" s="413"/>
      <c r="U970" s="413"/>
      <c r="V970" s="413"/>
      <c r="W970" s="413"/>
      <c r="X970" s="413"/>
      <c r="Y970" s="413"/>
      <c r="Z970" s="413"/>
    </row>
    <row r="971" ht="12.0" customHeight="1">
      <c r="A971" s="413"/>
      <c r="B971" s="413"/>
      <c r="C971" s="413"/>
      <c r="D971" s="414"/>
      <c r="E971" s="414"/>
      <c r="F971" s="414"/>
      <c r="G971" s="414"/>
      <c r="H971" s="413"/>
      <c r="I971" s="413"/>
      <c r="J971" s="413"/>
      <c r="K971" s="413"/>
      <c r="L971" s="413"/>
      <c r="M971" s="413"/>
      <c r="N971" s="413"/>
      <c r="O971" s="413"/>
      <c r="P971" s="413"/>
      <c r="Q971" s="413"/>
      <c r="R971" s="413"/>
      <c r="S971" s="413"/>
      <c r="T971" s="413"/>
      <c r="U971" s="413"/>
      <c r="V971" s="413"/>
      <c r="W971" s="413"/>
      <c r="X971" s="413"/>
      <c r="Y971" s="413"/>
      <c r="Z971" s="413"/>
    </row>
    <row r="972" ht="12.0" customHeight="1">
      <c r="A972" s="413"/>
      <c r="B972" s="413"/>
      <c r="C972" s="413"/>
      <c r="D972" s="414"/>
      <c r="E972" s="414"/>
      <c r="F972" s="414"/>
      <c r="G972" s="414"/>
      <c r="H972" s="413"/>
      <c r="I972" s="413"/>
      <c r="J972" s="413"/>
      <c r="K972" s="413"/>
      <c r="L972" s="413"/>
      <c r="M972" s="413"/>
      <c r="N972" s="413"/>
      <c r="O972" s="413"/>
      <c r="P972" s="413"/>
      <c r="Q972" s="413"/>
      <c r="R972" s="413"/>
      <c r="S972" s="413"/>
      <c r="T972" s="413"/>
      <c r="U972" s="413"/>
      <c r="V972" s="413"/>
      <c r="W972" s="413"/>
      <c r="X972" s="413"/>
      <c r="Y972" s="413"/>
      <c r="Z972" s="413"/>
    </row>
    <row r="973" ht="12.0" customHeight="1">
      <c r="A973" s="413"/>
      <c r="B973" s="413"/>
      <c r="C973" s="413"/>
      <c r="D973" s="414"/>
      <c r="E973" s="414"/>
      <c r="F973" s="414"/>
      <c r="G973" s="414"/>
      <c r="H973" s="413"/>
      <c r="I973" s="413"/>
      <c r="J973" s="413"/>
      <c r="K973" s="413"/>
      <c r="L973" s="413"/>
      <c r="M973" s="413"/>
      <c r="N973" s="413"/>
      <c r="O973" s="413"/>
      <c r="P973" s="413"/>
      <c r="Q973" s="413"/>
      <c r="R973" s="413"/>
      <c r="S973" s="413"/>
      <c r="T973" s="413"/>
      <c r="U973" s="413"/>
      <c r="V973" s="413"/>
      <c r="W973" s="413"/>
      <c r="X973" s="413"/>
      <c r="Y973" s="413"/>
      <c r="Z973" s="413"/>
    </row>
    <row r="974" ht="12.0" customHeight="1">
      <c r="A974" s="413"/>
      <c r="B974" s="413"/>
      <c r="C974" s="413"/>
      <c r="D974" s="414"/>
      <c r="E974" s="414"/>
      <c r="F974" s="414"/>
      <c r="G974" s="414"/>
      <c r="H974" s="413"/>
      <c r="I974" s="413"/>
      <c r="J974" s="413"/>
      <c r="K974" s="413"/>
      <c r="L974" s="413"/>
      <c r="M974" s="413"/>
      <c r="N974" s="413"/>
      <c r="O974" s="413"/>
      <c r="P974" s="413"/>
      <c r="Q974" s="413"/>
      <c r="R974" s="413"/>
      <c r="S974" s="413"/>
      <c r="T974" s="413"/>
      <c r="U974" s="413"/>
      <c r="V974" s="413"/>
      <c r="W974" s="413"/>
      <c r="X974" s="413"/>
      <c r="Y974" s="413"/>
      <c r="Z974" s="413"/>
    </row>
    <row r="975" ht="12.0" customHeight="1">
      <c r="A975" s="413"/>
      <c r="B975" s="413"/>
      <c r="C975" s="413"/>
      <c r="D975" s="414"/>
      <c r="E975" s="414"/>
      <c r="F975" s="414"/>
      <c r="G975" s="414"/>
      <c r="H975" s="413"/>
      <c r="I975" s="413"/>
      <c r="J975" s="413"/>
      <c r="K975" s="413"/>
      <c r="L975" s="413"/>
      <c r="M975" s="413"/>
      <c r="N975" s="413"/>
      <c r="O975" s="413"/>
      <c r="P975" s="413"/>
      <c r="Q975" s="413"/>
      <c r="R975" s="413"/>
      <c r="S975" s="413"/>
      <c r="T975" s="413"/>
      <c r="U975" s="413"/>
      <c r="V975" s="413"/>
      <c r="W975" s="413"/>
      <c r="X975" s="413"/>
      <c r="Y975" s="413"/>
      <c r="Z975" s="413"/>
    </row>
    <row r="976" ht="12.0" customHeight="1">
      <c r="A976" s="413"/>
      <c r="B976" s="413"/>
      <c r="C976" s="413"/>
      <c r="D976" s="414"/>
      <c r="E976" s="414"/>
      <c r="F976" s="414"/>
      <c r="G976" s="414"/>
      <c r="H976" s="413"/>
      <c r="I976" s="413"/>
      <c r="J976" s="413"/>
      <c r="K976" s="413"/>
      <c r="L976" s="413"/>
      <c r="M976" s="413"/>
      <c r="N976" s="413"/>
      <c r="O976" s="413"/>
      <c r="P976" s="413"/>
      <c r="Q976" s="413"/>
      <c r="R976" s="413"/>
      <c r="S976" s="413"/>
      <c r="T976" s="413"/>
      <c r="U976" s="413"/>
      <c r="V976" s="413"/>
      <c r="W976" s="413"/>
      <c r="X976" s="413"/>
      <c r="Y976" s="413"/>
      <c r="Z976" s="413"/>
    </row>
    <row r="977" ht="12.0" customHeight="1">
      <c r="A977" s="413"/>
      <c r="B977" s="413"/>
      <c r="C977" s="413"/>
      <c r="D977" s="414"/>
      <c r="E977" s="414"/>
      <c r="F977" s="414"/>
      <c r="G977" s="414"/>
      <c r="H977" s="413"/>
      <c r="I977" s="413"/>
      <c r="J977" s="413"/>
      <c r="K977" s="413"/>
      <c r="L977" s="413"/>
      <c r="M977" s="413"/>
      <c r="N977" s="413"/>
      <c r="O977" s="413"/>
      <c r="P977" s="413"/>
      <c r="Q977" s="413"/>
      <c r="R977" s="413"/>
      <c r="S977" s="413"/>
      <c r="T977" s="413"/>
      <c r="U977" s="413"/>
      <c r="V977" s="413"/>
      <c r="W977" s="413"/>
      <c r="X977" s="413"/>
      <c r="Y977" s="413"/>
      <c r="Z977" s="413"/>
    </row>
    <row r="978" ht="12.0" customHeight="1">
      <c r="A978" s="413"/>
      <c r="B978" s="413"/>
      <c r="C978" s="413"/>
      <c r="D978" s="414"/>
      <c r="E978" s="414"/>
      <c r="F978" s="414"/>
      <c r="G978" s="414"/>
      <c r="H978" s="413"/>
      <c r="I978" s="413"/>
      <c r="J978" s="413"/>
      <c r="K978" s="413"/>
      <c r="L978" s="413"/>
      <c r="M978" s="413"/>
      <c r="N978" s="413"/>
      <c r="O978" s="413"/>
      <c r="P978" s="413"/>
      <c r="Q978" s="413"/>
      <c r="R978" s="413"/>
      <c r="S978" s="413"/>
      <c r="T978" s="413"/>
      <c r="U978" s="413"/>
      <c r="V978" s="413"/>
      <c r="W978" s="413"/>
      <c r="X978" s="413"/>
      <c r="Y978" s="413"/>
      <c r="Z978" s="413"/>
    </row>
    <row r="979" ht="12.0" customHeight="1">
      <c r="A979" s="413"/>
      <c r="B979" s="413"/>
      <c r="C979" s="413"/>
      <c r="D979" s="414"/>
      <c r="E979" s="414"/>
      <c r="F979" s="414"/>
      <c r="G979" s="414"/>
      <c r="H979" s="413"/>
      <c r="I979" s="413"/>
      <c r="J979" s="413"/>
      <c r="K979" s="413"/>
      <c r="L979" s="413"/>
      <c r="M979" s="413"/>
      <c r="N979" s="413"/>
      <c r="O979" s="413"/>
      <c r="P979" s="413"/>
      <c r="Q979" s="413"/>
      <c r="R979" s="413"/>
      <c r="S979" s="413"/>
      <c r="T979" s="413"/>
      <c r="U979" s="413"/>
      <c r="V979" s="413"/>
      <c r="W979" s="413"/>
      <c r="X979" s="413"/>
      <c r="Y979" s="413"/>
      <c r="Z979" s="413"/>
    </row>
    <row r="980" ht="12.0" customHeight="1">
      <c r="A980" s="413"/>
      <c r="B980" s="413"/>
      <c r="C980" s="413"/>
      <c r="D980" s="414"/>
      <c r="E980" s="414"/>
      <c r="F980" s="414"/>
      <c r="G980" s="414"/>
      <c r="H980" s="413"/>
      <c r="I980" s="413"/>
      <c r="J980" s="413"/>
      <c r="K980" s="413"/>
      <c r="L980" s="413"/>
      <c r="M980" s="413"/>
      <c r="N980" s="413"/>
      <c r="O980" s="413"/>
      <c r="P980" s="413"/>
      <c r="Q980" s="413"/>
      <c r="R980" s="413"/>
      <c r="S980" s="413"/>
      <c r="T980" s="413"/>
      <c r="U980" s="413"/>
      <c r="V980" s="413"/>
      <c r="W980" s="413"/>
      <c r="X980" s="413"/>
      <c r="Y980" s="413"/>
      <c r="Z980" s="413"/>
    </row>
    <row r="981" ht="12.0" customHeight="1">
      <c r="A981" s="413"/>
      <c r="B981" s="413"/>
      <c r="C981" s="413"/>
      <c r="D981" s="414"/>
      <c r="E981" s="414"/>
      <c r="F981" s="414"/>
      <c r="G981" s="414"/>
      <c r="H981" s="413"/>
      <c r="I981" s="413"/>
      <c r="J981" s="413"/>
      <c r="K981" s="413"/>
      <c r="L981" s="413"/>
      <c r="M981" s="413"/>
      <c r="N981" s="413"/>
      <c r="O981" s="413"/>
      <c r="P981" s="413"/>
      <c r="Q981" s="413"/>
      <c r="R981" s="413"/>
      <c r="S981" s="413"/>
      <c r="T981" s="413"/>
      <c r="U981" s="413"/>
      <c r="V981" s="413"/>
      <c r="W981" s="413"/>
      <c r="X981" s="413"/>
      <c r="Y981" s="413"/>
      <c r="Z981" s="413"/>
    </row>
    <row r="982" ht="12.0" customHeight="1">
      <c r="A982" s="413"/>
      <c r="B982" s="413"/>
      <c r="C982" s="413"/>
      <c r="D982" s="414"/>
      <c r="E982" s="414"/>
      <c r="F982" s="414"/>
      <c r="G982" s="414"/>
      <c r="H982" s="413"/>
      <c r="I982" s="413"/>
      <c r="J982" s="413"/>
      <c r="K982" s="413"/>
      <c r="L982" s="413"/>
      <c r="M982" s="413"/>
      <c r="N982" s="413"/>
      <c r="O982" s="413"/>
      <c r="P982" s="413"/>
      <c r="Q982" s="413"/>
      <c r="R982" s="413"/>
      <c r="S982" s="413"/>
      <c r="T982" s="413"/>
      <c r="U982" s="413"/>
      <c r="V982" s="413"/>
      <c r="W982" s="413"/>
      <c r="X982" s="413"/>
      <c r="Y982" s="413"/>
      <c r="Z982" s="413"/>
    </row>
    <row r="983" ht="12.0" customHeight="1">
      <c r="A983" s="413"/>
      <c r="B983" s="413"/>
      <c r="C983" s="413"/>
      <c r="D983" s="414"/>
      <c r="E983" s="414"/>
      <c r="F983" s="414"/>
      <c r="G983" s="414"/>
      <c r="H983" s="413"/>
      <c r="I983" s="413"/>
      <c r="J983" s="413"/>
      <c r="K983" s="413"/>
      <c r="L983" s="413"/>
      <c r="M983" s="413"/>
      <c r="N983" s="413"/>
      <c r="O983" s="413"/>
      <c r="P983" s="413"/>
      <c r="Q983" s="413"/>
      <c r="R983" s="413"/>
      <c r="S983" s="413"/>
      <c r="T983" s="413"/>
      <c r="U983" s="413"/>
      <c r="V983" s="413"/>
      <c r="W983" s="413"/>
      <c r="X983" s="413"/>
      <c r="Y983" s="413"/>
      <c r="Z983" s="413"/>
    </row>
    <row r="984" ht="12.0" customHeight="1">
      <c r="A984" s="413"/>
      <c r="B984" s="413"/>
      <c r="C984" s="413"/>
      <c r="D984" s="414"/>
      <c r="E984" s="414"/>
      <c r="F984" s="414"/>
      <c r="G984" s="414"/>
      <c r="H984" s="413"/>
      <c r="I984" s="413"/>
      <c r="J984" s="413"/>
      <c r="K984" s="413"/>
      <c r="L984" s="413"/>
      <c r="M984" s="413"/>
      <c r="N984" s="413"/>
      <c r="O984" s="413"/>
      <c r="P984" s="413"/>
      <c r="Q984" s="413"/>
      <c r="R984" s="413"/>
      <c r="S984" s="413"/>
      <c r="T984" s="413"/>
      <c r="U984" s="413"/>
      <c r="V984" s="413"/>
      <c r="W984" s="413"/>
      <c r="X984" s="413"/>
      <c r="Y984" s="413"/>
      <c r="Z984" s="413"/>
    </row>
    <row r="985" ht="12.0" customHeight="1">
      <c r="A985" s="413"/>
      <c r="B985" s="413"/>
      <c r="C985" s="413"/>
      <c r="D985" s="414"/>
      <c r="E985" s="414"/>
      <c r="F985" s="414"/>
      <c r="G985" s="414"/>
      <c r="H985" s="413"/>
      <c r="I985" s="413"/>
      <c r="J985" s="413"/>
      <c r="K985" s="413"/>
      <c r="L985" s="413"/>
      <c r="M985" s="413"/>
      <c r="N985" s="413"/>
      <c r="O985" s="413"/>
      <c r="P985" s="413"/>
      <c r="Q985" s="413"/>
      <c r="R985" s="413"/>
      <c r="S985" s="413"/>
      <c r="T985" s="413"/>
      <c r="U985" s="413"/>
      <c r="V985" s="413"/>
      <c r="W985" s="413"/>
      <c r="X985" s="413"/>
      <c r="Y985" s="413"/>
      <c r="Z985" s="413"/>
    </row>
    <row r="986" ht="12.0" customHeight="1">
      <c r="A986" s="413"/>
      <c r="B986" s="413"/>
      <c r="C986" s="413"/>
      <c r="D986" s="414"/>
      <c r="E986" s="414"/>
      <c r="F986" s="414"/>
      <c r="G986" s="414"/>
      <c r="H986" s="413"/>
      <c r="I986" s="413"/>
      <c r="J986" s="413"/>
      <c r="K986" s="413"/>
      <c r="L986" s="413"/>
      <c r="M986" s="413"/>
      <c r="N986" s="413"/>
      <c r="O986" s="413"/>
      <c r="P986" s="413"/>
      <c r="Q986" s="413"/>
      <c r="R986" s="413"/>
      <c r="S986" s="413"/>
      <c r="T986" s="413"/>
      <c r="U986" s="413"/>
      <c r="V986" s="413"/>
      <c r="W986" s="413"/>
      <c r="X986" s="413"/>
      <c r="Y986" s="413"/>
      <c r="Z986" s="413"/>
    </row>
    <row r="987" ht="12.0" customHeight="1">
      <c r="A987" s="413"/>
      <c r="B987" s="413"/>
      <c r="C987" s="413"/>
      <c r="D987" s="414"/>
      <c r="E987" s="414"/>
      <c r="F987" s="414"/>
      <c r="G987" s="414"/>
      <c r="H987" s="413"/>
      <c r="I987" s="413"/>
      <c r="J987" s="413"/>
      <c r="K987" s="413"/>
      <c r="L987" s="413"/>
      <c r="M987" s="413"/>
      <c r="N987" s="413"/>
      <c r="O987" s="413"/>
      <c r="P987" s="413"/>
      <c r="Q987" s="413"/>
      <c r="R987" s="413"/>
      <c r="S987" s="413"/>
      <c r="T987" s="413"/>
      <c r="U987" s="413"/>
      <c r="V987" s="413"/>
      <c r="W987" s="413"/>
      <c r="X987" s="413"/>
      <c r="Y987" s="413"/>
      <c r="Z987" s="413"/>
    </row>
    <row r="988" ht="12.0" customHeight="1">
      <c r="A988" s="413"/>
      <c r="B988" s="413"/>
      <c r="C988" s="413"/>
      <c r="D988" s="414"/>
      <c r="E988" s="414"/>
      <c r="F988" s="414"/>
      <c r="G988" s="414"/>
      <c r="H988" s="413"/>
      <c r="I988" s="413"/>
      <c r="J988" s="413"/>
      <c r="K988" s="413"/>
      <c r="L988" s="413"/>
      <c r="M988" s="413"/>
      <c r="N988" s="413"/>
      <c r="O988" s="413"/>
      <c r="P988" s="413"/>
      <c r="Q988" s="413"/>
      <c r="R988" s="413"/>
      <c r="S988" s="413"/>
      <c r="T988" s="413"/>
      <c r="U988" s="413"/>
      <c r="V988" s="413"/>
      <c r="W988" s="413"/>
      <c r="X988" s="413"/>
      <c r="Y988" s="413"/>
      <c r="Z988" s="413"/>
    </row>
    <row r="989" ht="12.0" customHeight="1">
      <c r="A989" s="413"/>
      <c r="B989" s="413"/>
      <c r="C989" s="413"/>
      <c r="D989" s="414"/>
      <c r="E989" s="414"/>
      <c r="F989" s="414"/>
      <c r="G989" s="414"/>
      <c r="H989" s="413"/>
      <c r="I989" s="413"/>
      <c r="J989" s="413"/>
      <c r="K989" s="413"/>
      <c r="L989" s="413"/>
      <c r="M989" s="413"/>
      <c r="N989" s="413"/>
      <c r="O989" s="413"/>
      <c r="P989" s="413"/>
      <c r="Q989" s="413"/>
      <c r="R989" s="413"/>
      <c r="S989" s="413"/>
      <c r="T989" s="413"/>
      <c r="U989" s="413"/>
      <c r="V989" s="413"/>
      <c r="W989" s="413"/>
      <c r="X989" s="413"/>
      <c r="Y989" s="413"/>
      <c r="Z989" s="413"/>
    </row>
    <row r="990" ht="12.0" customHeight="1">
      <c r="A990" s="413"/>
      <c r="B990" s="413"/>
      <c r="C990" s="413"/>
      <c r="D990" s="414"/>
      <c r="E990" s="414"/>
      <c r="F990" s="414"/>
      <c r="G990" s="414"/>
      <c r="H990" s="413"/>
      <c r="I990" s="413"/>
      <c r="J990" s="413"/>
      <c r="K990" s="413"/>
      <c r="L990" s="413"/>
      <c r="M990" s="413"/>
      <c r="N990" s="413"/>
      <c r="O990" s="413"/>
      <c r="P990" s="413"/>
      <c r="Q990" s="413"/>
      <c r="R990" s="413"/>
      <c r="S990" s="413"/>
      <c r="T990" s="413"/>
      <c r="U990" s="413"/>
      <c r="V990" s="413"/>
      <c r="W990" s="413"/>
      <c r="X990" s="413"/>
      <c r="Y990" s="413"/>
      <c r="Z990" s="413"/>
    </row>
    <row r="991" ht="12.0" customHeight="1">
      <c r="A991" s="413"/>
      <c r="B991" s="413"/>
      <c r="C991" s="413"/>
      <c r="D991" s="414"/>
      <c r="E991" s="414"/>
      <c r="F991" s="414"/>
      <c r="G991" s="414"/>
      <c r="H991" s="413"/>
      <c r="I991" s="413"/>
      <c r="J991" s="413"/>
      <c r="K991" s="413"/>
      <c r="L991" s="413"/>
      <c r="M991" s="413"/>
      <c r="N991" s="413"/>
      <c r="O991" s="413"/>
      <c r="P991" s="413"/>
      <c r="Q991" s="413"/>
      <c r="R991" s="413"/>
      <c r="S991" s="413"/>
      <c r="T991" s="413"/>
      <c r="U991" s="413"/>
      <c r="V991" s="413"/>
      <c r="W991" s="413"/>
      <c r="X991" s="413"/>
      <c r="Y991" s="413"/>
      <c r="Z991" s="413"/>
    </row>
    <row r="992" ht="12.0" customHeight="1">
      <c r="A992" s="413"/>
      <c r="B992" s="413"/>
      <c r="C992" s="413"/>
      <c r="D992" s="414"/>
      <c r="E992" s="414"/>
      <c r="F992" s="414"/>
      <c r="G992" s="414"/>
      <c r="H992" s="413"/>
      <c r="I992" s="413"/>
      <c r="J992" s="413"/>
      <c r="K992" s="413"/>
      <c r="L992" s="413"/>
      <c r="M992" s="413"/>
      <c r="N992" s="413"/>
      <c r="O992" s="413"/>
      <c r="P992" s="413"/>
      <c r="Q992" s="413"/>
      <c r="R992" s="413"/>
      <c r="S992" s="413"/>
      <c r="T992" s="413"/>
      <c r="U992" s="413"/>
      <c r="V992" s="413"/>
      <c r="W992" s="413"/>
      <c r="X992" s="413"/>
      <c r="Y992" s="413"/>
      <c r="Z992" s="413"/>
    </row>
    <row r="993" ht="12.0" customHeight="1">
      <c r="A993" s="413"/>
      <c r="B993" s="413"/>
      <c r="C993" s="413"/>
      <c r="D993" s="414"/>
      <c r="E993" s="414"/>
      <c r="F993" s="414"/>
      <c r="G993" s="414"/>
      <c r="H993" s="413"/>
      <c r="I993" s="413"/>
      <c r="J993" s="413"/>
      <c r="K993" s="413"/>
      <c r="L993" s="413"/>
      <c r="M993" s="413"/>
      <c r="N993" s="413"/>
      <c r="O993" s="413"/>
      <c r="P993" s="413"/>
      <c r="Q993" s="413"/>
      <c r="R993" s="413"/>
      <c r="S993" s="413"/>
      <c r="T993" s="413"/>
      <c r="U993" s="413"/>
      <c r="V993" s="413"/>
      <c r="W993" s="413"/>
      <c r="X993" s="413"/>
      <c r="Y993" s="413"/>
      <c r="Z993" s="413"/>
    </row>
    <row r="994" ht="12.0" customHeight="1">
      <c r="A994" s="413"/>
      <c r="B994" s="413"/>
      <c r="C994" s="413"/>
      <c r="D994" s="414"/>
      <c r="E994" s="414"/>
      <c r="F994" s="414"/>
      <c r="G994" s="414"/>
      <c r="H994" s="413"/>
      <c r="I994" s="413"/>
      <c r="J994" s="413"/>
      <c r="K994" s="413"/>
      <c r="L994" s="413"/>
      <c r="M994" s="413"/>
      <c r="N994" s="413"/>
      <c r="O994" s="413"/>
      <c r="P994" s="413"/>
      <c r="Q994" s="413"/>
      <c r="R994" s="413"/>
      <c r="S994" s="413"/>
      <c r="T994" s="413"/>
      <c r="U994" s="413"/>
      <c r="V994" s="413"/>
      <c r="W994" s="413"/>
      <c r="X994" s="413"/>
      <c r="Y994" s="413"/>
      <c r="Z994" s="413"/>
    </row>
    <row r="995" ht="12.0" customHeight="1">
      <c r="A995" s="413"/>
      <c r="B995" s="413"/>
      <c r="C995" s="413"/>
      <c r="D995" s="414"/>
      <c r="E995" s="414"/>
      <c r="F995" s="414"/>
      <c r="G995" s="414"/>
      <c r="H995" s="413"/>
      <c r="I995" s="413"/>
      <c r="J995" s="413"/>
      <c r="K995" s="413"/>
      <c r="L995" s="413"/>
      <c r="M995" s="413"/>
      <c r="N995" s="413"/>
      <c r="O995" s="413"/>
      <c r="P995" s="413"/>
      <c r="Q995" s="413"/>
      <c r="R995" s="413"/>
      <c r="S995" s="413"/>
      <c r="T995" s="413"/>
      <c r="U995" s="413"/>
      <c r="V995" s="413"/>
      <c r="W995" s="413"/>
      <c r="X995" s="413"/>
      <c r="Y995" s="413"/>
      <c r="Z995" s="413"/>
    </row>
    <row r="996" ht="12.0" customHeight="1">
      <c r="A996" s="413"/>
      <c r="B996" s="413"/>
      <c r="C996" s="413"/>
      <c r="D996" s="414"/>
      <c r="E996" s="414"/>
      <c r="F996" s="414"/>
      <c r="G996" s="414"/>
      <c r="H996" s="413"/>
      <c r="I996" s="413"/>
      <c r="J996" s="413"/>
      <c r="K996" s="413"/>
      <c r="L996" s="413"/>
      <c r="M996" s="413"/>
      <c r="N996" s="413"/>
      <c r="O996" s="413"/>
      <c r="P996" s="413"/>
      <c r="Q996" s="413"/>
      <c r="R996" s="413"/>
      <c r="S996" s="413"/>
      <c r="T996" s="413"/>
      <c r="U996" s="413"/>
      <c r="V996" s="413"/>
      <c r="W996" s="413"/>
      <c r="X996" s="413"/>
      <c r="Y996" s="413"/>
      <c r="Z996" s="413"/>
    </row>
    <row r="997" ht="12.0" customHeight="1">
      <c r="A997" s="413"/>
      <c r="B997" s="413"/>
      <c r="C997" s="413"/>
      <c r="D997" s="414"/>
      <c r="E997" s="414"/>
      <c r="F997" s="414"/>
      <c r="G997" s="414"/>
      <c r="H997" s="413"/>
      <c r="I997" s="413"/>
      <c r="J997" s="413"/>
      <c r="K997" s="413"/>
      <c r="L997" s="413"/>
      <c r="M997" s="413"/>
      <c r="N997" s="413"/>
      <c r="O997" s="413"/>
      <c r="P997" s="413"/>
      <c r="Q997" s="413"/>
      <c r="R997" s="413"/>
      <c r="S997" s="413"/>
      <c r="T997" s="413"/>
      <c r="U997" s="413"/>
      <c r="V997" s="413"/>
      <c r="W997" s="413"/>
      <c r="X997" s="413"/>
      <c r="Y997" s="413"/>
      <c r="Z997" s="413"/>
    </row>
    <row r="998" ht="12.0" customHeight="1">
      <c r="A998" s="413"/>
      <c r="B998" s="413"/>
      <c r="C998" s="413"/>
      <c r="D998" s="414"/>
      <c r="E998" s="414"/>
      <c r="F998" s="414"/>
      <c r="G998" s="414"/>
      <c r="H998" s="413"/>
      <c r="I998" s="413"/>
      <c r="J998" s="413"/>
      <c r="K998" s="413"/>
      <c r="L998" s="413"/>
      <c r="M998" s="413"/>
      <c r="N998" s="413"/>
      <c r="O998" s="413"/>
      <c r="P998" s="413"/>
      <c r="Q998" s="413"/>
      <c r="R998" s="413"/>
      <c r="S998" s="413"/>
      <c r="T998" s="413"/>
      <c r="U998" s="413"/>
      <c r="V998" s="413"/>
      <c r="W998" s="413"/>
      <c r="X998" s="413"/>
      <c r="Y998" s="413"/>
      <c r="Z998" s="413"/>
    </row>
    <row r="999" ht="12.0" customHeight="1">
      <c r="A999" s="413"/>
      <c r="B999" s="413"/>
      <c r="C999" s="413"/>
      <c r="D999" s="414"/>
      <c r="E999" s="414"/>
      <c r="F999" s="414"/>
      <c r="G999" s="414"/>
      <c r="H999" s="413"/>
      <c r="I999" s="413"/>
      <c r="J999" s="413"/>
      <c r="K999" s="413"/>
      <c r="L999" s="413"/>
      <c r="M999" s="413"/>
      <c r="N999" s="413"/>
      <c r="O999" s="413"/>
      <c r="P999" s="413"/>
      <c r="Q999" s="413"/>
      <c r="R999" s="413"/>
      <c r="S999" s="413"/>
      <c r="T999" s="413"/>
      <c r="U999" s="413"/>
      <c r="V999" s="413"/>
      <c r="W999" s="413"/>
      <c r="X999" s="413"/>
      <c r="Y999" s="413"/>
      <c r="Z999" s="413"/>
    </row>
    <row r="1000" ht="12.0" customHeight="1">
      <c r="A1000" s="413"/>
      <c r="B1000" s="413"/>
      <c r="C1000" s="413"/>
      <c r="D1000" s="414"/>
      <c r="E1000" s="414"/>
      <c r="F1000" s="414"/>
      <c r="G1000" s="414"/>
      <c r="H1000" s="413"/>
      <c r="I1000" s="413"/>
      <c r="J1000" s="413"/>
      <c r="K1000" s="413"/>
      <c r="L1000" s="413"/>
      <c r="M1000" s="413"/>
      <c r="N1000" s="413"/>
      <c r="O1000" s="413"/>
      <c r="P1000" s="413"/>
      <c r="Q1000" s="413"/>
      <c r="R1000" s="413"/>
      <c r="S1000" s="413"/>
      <c r="T1000" s="413"/>
      <c r="U1000" s="413"/>
      <c r="V1000" s="413"/>
      <c r="W1000" s="413"/>
      <c r="X1000" s="413"/>
      <c r="Y1000" s="413"/>
      <c r="Z1000" s="413"/>
    </row>
  </sheetData>
  <mergeCells count="1">
    <mergeCell ref="A1:D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16.71"/>
    <col customWidth="1" min="3" max="3" width="46.57"/>
    <col customWidth="1" min="4" max="4" width="17.29"/>
    <col customWidth="1" min="5" max="5" width="14.71"/>
    <col customWidth="1" min="6" max="6" width="15.14"/>
    <col customWidth="1" min="7" max="7" width="9.0"/>
    <col customWidth="1" min="8" max="8" width="8.14"/>
    <col customWidth="1" min="9" max="9" width="55.43"/>
    <col customWidth="1" min="10" max="10" width="11.0"/>
    <col customWidth="1" min="11" max="11" width="10.71"/>
    <col customWidth="1" min="12" max="12" width="6.86"/>
    <col customWidth="1" min="13" max="16" width="9.0"/>
    <col customWidth="1" min="17" max="26" width="8.0"/>
  </cols>
  <sheetData>
    <row r="1" ht="12.75" customHeight="1">
      <c r="A1" s="67"/>
      <c r="B1" s="1"/>
      <c r="C1" s="1"/>
      <c r="D1" s="1"/>
      <c r="E1" s="1"/>
      <c r="F1" s="1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ht="12.75" customHeight="1">
      <c r="A2" s="67"/>
      <c r="B2" s="1"/>
      <c r="C2" s="428"/>
      <c r="D2" s="428"/>
      <c r="E2" s="428"/>
      <c r="F2" s="1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5.75" customHeight="1">
      <c r="A3" s="67"/>
      <c r="B3" s="429" t="s">
        <v>1649</v>
      </c>
      <c r="C3" s="1"/>
      <c r="D3" s="429"/>
      <c r="E3" s="429"/>
      <c r="F3" s="1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15.75" customHeight="1">
      <c r="A4" s="67"/>
      <c r="B4" s="429" t="s">
        <v>1650</v>
      </c>
      <c r="C4" s="1"/>
      <c r="D4" s="429"/>
      <c r="E4" s="429"/>
      <c r="F4" s="1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ht="15.75" customHeight="1">
      <c r="A5" s="67"/>
      <c r="B5" s="1" t="s">
        <v>1651</v>
      </c>
      <c r="C5" s="1"/>
      <c r="D5" s="1"/>
      <c r="E5" s="430"/>
      <c r="F5" s="1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15.75" customHeight="1">
      <c r="A6" s="67"/>
      <c r="B6" s="1" t="s">
        <v>1652</v>
      </c>
      <c r="C6" s="1"/>
      <c r="D6" s="1"/>
      <c r="E6" s="430"/>
      <c r="F6" s="1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12.75" customHeight="1">
      <c r="A7" s="67"/>
      <c r="B7" s="431" t="s">
        <v>1653</v>
      </c>
      <c r="C7" s="431" t="s">
        <v>1654</v>
      </c>
      <c r="D7" s="432" t="s">
        <v>1655</v>
      </c>
      <c r="E7" s="433"/>
      <c r="F7" s="434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ht="12.75" customHeight="1">
      <c r="A8" s="67"/>
      <c r="B8" s="435"/>
      <c r="C8" s="435"/>
      <c r="D8" s="436" t="s">
        <v>1656</v>
      </c>
      <c r="E8" s="436" t="s">
        <v>1657</v>
      </c>
      <c r="F8" s="436" t="s">
        <v>1658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2.75" customHeight="1">
      <c r="A9" s="67"/>
      <c r="B9" s="437" t="s">
        <v>1659</v>
      </c>
      <c r="C9" s="438" t="s">
        <v>1660</v>
      </c>
      <c r="D9" s="439">
        <v>170000.0</v>
      </c>
      <c r="E9" s="439"/>
      <c r="F9" s="439">
        <f>'Orçamento 2018'!D6+'Orçamento 2019'!E6</f>
        <v>29044.796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ht="12.75" customHeight="1">
      <c r="A10" s="67"/>
      <c r="B10" s="440" t="s">
        <v>1661</v>
      </c>
      <c r="C10" s="441" t="s">
        <v>1662</v>
      </c>
      <c r="D10" s="442">
        <v>1000000.0</v>
      </c>
      <c r="E10" s="442"/>
      <c r="F10" s="442">
        <f>'Orçamento 2018'!C16+'Orçamento 2018'!D16+'Orçamento 2019'!D19+'Orçamento 2019'!E19</f>
        <v>248301.317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12.75" customHeight="1">
      <c r="A11" s="67"/>
      <c r="B11" s="437" t="s">
        <v>1663</v>
      </c>
      <c r="C11" s="438" t="s">
        <v>1664</v>
      </c>
      <c r="D11" s="439">
        <v>700000.0</v>
      </c>
      <c r="E11" s="439"/>
      <c r="F11" s="439">
        <f>'Orçamento 2018'!C22+'Orçamento 2019'!D25+'Orçamento 2019'!E25</f>
        <v>145015.398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2.75" customHeight="1">
      <c r="A12" s="67"/>
      <c r="B12" s="437" t="s">
        <v>1665</v>
      </c>
      <c r="C12" s="438" t="s">
        <v>1666</v>
      </c>
      <c r="D12" s="439">
        <v>50000.0</v>
      </c>
      <c r="E12" s="439"/>
      <c r="F12" s="439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ht="12.75" customHeight="1">
      <c r="A13" s="67"/>
      <c r="B13" s="437" t="s">
        <v>1667</v>
      </c>
      <c r="C13" s="438" t="s">
        <v>1668</v>
      </c>
      <c r="D13" s="439">
        <v>80000.0</v>
      </c>
      <c r="E13" s="439"/>
      <c r="F13" s="439">
        <f>'Orçamento 2019'!D30+'Orçamento 2019'!C30</f>
        <v>0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ht="12.75" customHeight="1">
      <c r="A14" s="67"/>
      <c r="B14" s="437" t="s">
        <v>1669</v>
      </c>
      <c r="C14" s="438" t="s">
        <v>1670</v>
      </c>
      <c r="D14" s="439">
        <v>150000.0</v>
      </c>
      <c r="E14" s="439"/>
      <c r="F14" s="439">
        <f>'Orçamento 2019'!C35+'Orçamento 2019'!D35</f>
        <v>40654.658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2.75" customHeight="1">
      <c r="A15" s="67"/>
      <c r="B15" s="437" t="s">
        <v>1671</v>
      </c>
      <c r="C15" s="438" t="s">
        <v>1672</v>
      </c>
      <c r="D15" s="439">
        <v>5000.0</v>
      </c>
      <c r="E15" s="439"/>
      <c r="F15" s="439">
        <f>'Orçamento 2019'!C39+'Orçamento 2019'!D39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ht="12.75" customHeight="1">
      <c r="A16" s="67"/>
      <c r="B16" s="437" t="s">
        <v>1673</v>
      </c>
      <c r="C16" s="438" t="s">
        <v>1674</v>
      </c>
      <c r="D16" s="439">
        <v>5000.0</v>
      </c>
      <c r="E16" s="439"/>
      <c r="F16" s="439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2.75" customHeight="1">
      <c r="A17" s="67"/>
      <c r="B17" s="437" t="s">
        <v>1675</v>
      </c>
      <c r="C17" s="438" t="s">
        <v>1676</v>
      </c>
      <c r="D17" s="439">
        <v>10000.0</v>
      </c>
      <c r="E17" s="439"/>
      <c r="F17" s="439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2.75" customHeight="1">
      <c r="A18" s="67"/>
      <c r="B18" s="437" t="s">
        <v>1677</v>
      </c>
      <c r="C18" s="438" t="s">
        <v>1678</v>
      </c>
      <c r="D18" s="439">
        <v>110000.0</v>
      </c>
      <c r="E18" s="439"/>
      <c r="F18" s="439">
        <f>'Orçamento 2019'!C45+'Orçamento 2019'!D45</f>
        <v>22820.6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2.75" customHeight="1">
      <c r="A19" s="67"/>
      <c r="B19" s="437" t="s">
        <v>1679</v>
      </c>
      <c r="C19" s="438" t="s">
        <v>1680</v>
      </c>
      <c r="D19" s="439">
        <v>280000.0</v>
      </c>
      <c r="E19" s="439"/>
      <c r="F19" s="439">
        <f>'Orçamento 2019'!C56+'Orçamento 2019'!D56</f>
        <v>106311.887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2.75" customHeight="1">
      <c r="A20" s="67"/>
      <c r="B20" s="437" t="s">
        <v>1681</v>
      </c>
      <c r="C20" s="438" t="s">
        <v>1682</v>
      </c>
      <c r="D20" s="439">
        <v>55000.0</v>
      </c>
      <c r="E20" s="439"/>
      <c r="F20" s="439">
        <f>'Orçamento 2019'!C59+'Orçamento 2019'!D59</f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2.75" customHeight="1">
      <c r="A21" s="67"/>
      <c r="B21" s="437" t="s">
        <v>1683</v>
      </c>
      <c r="C21" s="438" t="s">
        <v>1684</v>
      </c>
      <c r="D21" s="439">
        <v>4000.0</v>
      </c>
      <c r="E21" s="439"/>
      <c r="F21" s="439">
        <f>'Orçamento 2019'!C65+'Orçamento 2019'!D65</f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2.75" customHeight="1">
      <c r="A22" s="67"/>
      <c r="B22" s="437" t="s">
        <v>1685</v>
      </c>
      <c r="C22" s="438" t="s">
        <v>1686</v>
      </c>
      <c r="D22" s="439">
        <v>50000.0</v>
      </c>
      <c r="E22" s="439"/>
      <c r="F22" s="439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2.75" customHeight="1">
      <c r="A23" s="67"/>
      <c r="B23" s="437" t="s">
        <v>1687</v>
      </c>
      <c r="C23" s="438" t="s">
        <v>1688</v>
      </c>
      <c r="D23" s="439">
        <v>20000.0</v>
      </c>
      <c r="E23" s="439"/>
      <c r="F23" s="439">
        <f>'Orçamento 2019'!C69+'Orçamento 2019'!D69</f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2.75" customHeight="1">
      <c r="A24" s="67"/>
      <c r="B24" s="437" t="s">
        <v>1689</v>
      </c>
      <c r="C24" s="438" t="s">
        <v>1690</v>
      </c>
      <c r="D24" s="439">
        <v>20000.0</v>
      </c>
      <c r="E24" s="439"/>
      <c r="F24" s="439">
        <f>'Orçamento 2018'!C69+'Orçamento 2019'!C74+'Orçamento 2019'!D74</f>
        <v>9659.65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2.75" customHeight="1">
      <c r="A25" s="67"/>
      <c r="B25" s="437" t="s">
        <v>1691</v>
      </c>
      <c r="C25" s="438" t="s">
        <v>1692</v>
      </c>
      <c r="D25" s="439">
        <v>30000.0</v>
      </c>
      <c r="E25" s="439"/>
      <c r="F25" s="439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2.75" customHeight="1">
      <c r="A26" s="67"/>
      <c r="B26" s="443">
        <v>3.390304E7</v>
      </c>
      <c r="C26" s="438"/>
      <c r="D26" s="439"/>
      <c r="E26" s="439"/>
      <c r="F26" s="439">
        <f>'Orçamento 2019'!C120+'Orçamento 2019'!D120</f>
        <v>2541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2.75" customHeight="1">
      <c r="A27" s="67"/>
      <c r="B27" s="437" t="s">
        <v>1693</v>
      </c>
      <c r="C27" s="438" t="s">
        <v>1694</v>
      </c>
      <c r="D27" s="439">
        <v>1200000.0</v>
      </c>
      <c r="E27" s="439"/>
      <c r="F27" s="439">
        <f>'Orçamento 2018'!D77+'Orçamento 2019'!C83+'Orçamento 2019'!D83+'Orçamento 2019'!E83</f>
        <v>378426.411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2.75" customHeight="1">
      <c r="A28" s="67"/>
      <c r="B28" s="437" t="s">
        <v>1695</v>
      </c>
      <c r="C28" s="438" t="s">
        <v>1696</v>
      </c>
      <c r="D28" s="439">
        <v>3000000.0</v>
      </c>
      <c r="E28" s="439"/>
      <c r="F28" s="439">
        <f>'Orçamento 2018'!C99+'Orçamento 2018'!D99+'Orçamento 2019'!C113+'Orçamento 2019'!D113+'Orçamento 2019'!E113</f>
        <v>1104240.324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2.75" customHeight="1">
      <c r="A29" s="67"/>
      <c r="B29" s="444" t="s">
        <v>1697</v>
      </c>
      <c r="C29" s="445" t="s">
        <v>1698</v>
      </c>
      <c r="D29" s="446">
        <v>20000.0</v>
      </c>
      <c r="E29" s="446"/>
      <c r="F29" s="446">
        <f>'Orçamento 2018'!C103+'Orçamento 2019'!C117+'Orçamento 2019'!D117+'Orçamento 2019'!E117</f>
        <v>36103.463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2.75" customHeight="1">
      <c r="A30" s="67"/>
      <c r="B30" s="437" t="s">
        <v>1699</v>
      </c>
      <c r="C30" s="438" t="s">
        <v>1700</v>
      </c>
      <c r="D30" s="439">
        <v>20000.0</v>
      </c>
      <c r="E30" s="439"/>
      <c r="F30" s="439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2.75" customHeight="1">
      <c r="A31" s="67"/>
      <c r="B31" s="437" t="s">
        <v>1701</v>
      </c>
      <c r="C31" s="438" t="s">
        <v>1702</v>
      </c>
      <c r="D31" s="439">
        <v>500.0</v>
      </c>
      <c r="E31" s="439"/>
      <c r="F31" s="439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2.75" customHeight="1">
      <c r="A32" s="67"/>
      <c r="B32" s="437" t="s">
        <v>1703</v>
      </c>
      <c r="C32" s="438" t="s">
        <v>1704</v>
      </c>
      <c r="D32" s="439">
        <v>40000.0</v>
      </c>
      <c r="E32" s="439"/>
      <c r="F32" s="439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2.75" customHeight="1">
      <c r="A33" s="67"/>
      <c r="B33" s="437" t="s">
        <v>1705</v>
      </c>
      <c r="C33" s="438" t="s">
        <v>1706</v>
      </c>
      <c r="D33" s="439">
        <v>10000.0</v>
      </c>
      <c r="E33" s="439"/>
      <c r="F33" s="439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2.75" customHeight="1">
      <c r="A34" s="67"/>
      <c r="B34" s="440" t="s">
        <v>1707</v>
      </c>
      <c r="C34" s="441" t="s">
        <v>1708</v>
      </c>
      <c r="D34" s="442">
        <v>3824114.0</v>
      </c>
      <c r="E34" s="442"/>
      <c r="F34" s="442">
        <f>'Orçamento 2018'!C107+'Orçamento 2018'!D107+'Orçamento 2019'!C124+'Orçamento 2019'!D124+'Orçamento 2019'!E124</f>
        <v>2128452.447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2.75" customHeight="1">
      <c r="A35" s="67"/>
      <c r="B35" s="437" t="s">
        <v>1709</v>
      </c>
      <c r="C35" s="438" t="s">
        <v>1710</v>
      </c>
      <c r="D35" s="439">
        <v>500.0</v>
      </c>
      <c r="E35" s="439"/>
      <c r="F35" s="439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2.75" customHeight="1">
      <c r="A36" s="67"/>
      <c r="B36" s="437" t="s">
        <v>1711</v>
      </c>
      <c r="C36" s="438" t="s">
        <v>1712</v>
      </c>
      <c r="D36" s="439">
        <v>2000.0</v>
      </c>
      <c r="E36" s="439"/>
      <c r="F36" s="439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2.75" customHeight="1">
      <c r="A37" s="67"/>
      <c r="B37" s="437" t="s">
        <v>1713</v>
      </c>
      <c r="C37" s="438" t="s">
        <v>1714</v>
      </c>
      <c r="D37" s="439">
        <v>12500.0</v>
      </c>
      <c r="E37" s="439"/>
      <c r="F37" s="439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2.75" customHeight="1">
      <c r="A38" s="67"/>
      <c r="B38" s="440" t="s">
        <v>1715</v>
      </c>
      <c r="C38" s="441" t="s">
        <v>1716</v>
      </c>
      <c r="D38" s="442">
        <v>23000.0</v>
      </c>
      <c r="E38" s="442"/>
      <c r="F38" s="442">
        <f>'Orçamento 2018'!C116+'Orçamento 2019'!C131+'Orçamento 2019'!D131</f>
        <v>247738.26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2.75" customHeight="1">
      <c r="A39" s="67"/>
      <c r="B39" s="437" t="s">
        <v>1717</v>
      </c>
      <c r="C39" s="438" t="s">
        <v>1718</v>
      </c>
      <c r="D39" s="439">
        <v>120000.0</v>
      </c>
      <c r="E39" s="439"/>
      <c r="F39" s="439">
        <f>'Orçamento 2018'!C123+'Orçamento 2018'!D123+'Orçamento 2019'!C138+'Orçamento 2019'!D138+'Orçamento 2019'!E138</f>
        <v>48624.136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ht="12.75" customHeight="1">
      <c r="A40" s="67"/>
      <c r="B40" s="437" t="s">
        <v>1719</v>
      </c>
      <c r="C40" s="438" t="s">
        <v>1720</v>
      </c>
      <c r="D40" s="439">
        <v>500000.0</v>
      </c>
      <c r="E40" s="439"/>
      <c r="F40" s="439">
        <f>'Orçamento 2018'!C137+'Orçamento 2018'!D137+'Orçamento 2018'!E137+'Orçamento 2019'!C152+'Orçamento 2019'!D152+'Orçamento 2019'!E152+'Orçamento 2019'!F152</f>
        <v>427533.414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ht="12.75" customHeight="1">
      <c r="A41" s="67"/>
      <c r="B41" s="437" t="s">
        <v>1721</v>
      </c>
      <c r="C41" s="438" t="s">
        <v>1722</v>
      </c>
      <c r="D41" s="439">
        <v>50000.0</v>
      </c>
      <c r="E41" s="439"/>
      <c r="F41" s="439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ht="12.75" customHeight="1">
      <c r="A42" s="67"/>
      <c r="B42" s="437" t="s">
        <v>1723</v>
      </c>
      <c r="C42" s="438" t="s">
        <v>1724</v>
      </c>
      <c r="D42" s="439">
        <v>2500.0</v>
      </c>
      <c r="E42" s="439"/>
      <c r="F42" s="439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12.75" customHeight="1">
      <c r="A43" s="67"/>
      <c r="B43" s="440" t="s">
        <v>1725</v>
      </c>
      <c r="C43" s="441" t="s">
        <v>1726</v>
      </c>
      <c r="D43" s="442">
        <v>3000.0</v>
      </c>
      <c r="E43" s="442"/>
      <c r="F43" s="442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ht="12.75" customHeight="1">
      <c r="A44" s="67"/>
      <c r="B44" s="437" t="s">
        <v>1727</v>
      </c>
      <c r="C44" s="438" t="s">
        <v>1728</v>
      </c>
      <c r="D44" s="439">
        <v>5000.0</v>
      </c>
      <c r="E44" s="439"/>
      <c r="F44" s="439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2.75" customHeight="1">
      <c r="A45" s="67"/>
      <c r="B45" s="437" t="s">
        <v>1729</v>
      </c>
      <c r="C45" s="438" t="s">
        <v>1730</v>
      </c>
      <c r="D45" s="439">
        <v>1.7978412E7</v>
      </c>
      <c r="E45" s="439"/>
      <c r="F45" s="439">
        <f>'Orçamento 2018'!C179+'Orçamento 2018'!D179+'Orçamento 2018'!E179+'Orçamento 2018'!F179+'Orçamento 2019'!C194+'Orçamento 2019'!D194+'Orçamento 2019'!E194+'Orçamento 2019'!F194+'Orçamento 2019'!G194</f>
        <v>17881405.11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2.75" customHeight="1">
      <c r="A46" s="67"/>
      <c r="B46" s="437" t="s">
        <v>1731</v>
      </c>
      <c r="C46" s="438" t="s">
        <v>1732</v>
      </c>
      <c r="D46" s="439">
        <v>2000.0</v>
      </c>
      <c r="E46" s="439"/>
      <c r="F46" s="439">
        <f>'Orçamento 2018'!D183+'Orçamento 2019'!C198+'Orçamento 2019'!D198+'Orçamento 2019'!E198</f>
        <v>1628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2.75" customHeight="1">
      <c r="A47" s="67"/>
      <c r="B47" s="440" t="s">
        <v>1733</v>
      </c>
      <c r="C47" s="441" t="s">
        <v>1734</v>
      </c>
      <c r="D47" s="442">
        <v>170000.0</v>
      </c>
      <c r="E47" s="442"/>
      <c r="F47" s="442">
        <f>'Orçamento 2018'!D189+'Orçamento 2019'!C205+'Orçamento 2019'!D205+'Orçamento 2019'!E205</f>
        <v>39115.857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ht="12.75" customHeight="1">
      <c r="A48" s="67"/>
      <c r="B48" s="440" t="s">
        <v>1735</v>
      </c>
      <c r="C48" s="441" t="s">
        <v>1736</v>
      </c>
      <c r="D48" s="442">
        <v>5000.0</v>
      </c>
      <c r="E48" s="442"/>
      <c r="F48" s="442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2.75" customHeight="1">
      <c r="A49" s="67"/>
      <c r="B49" s="437" t="s">
        <v>1737</v>
      </c>
      <c r="C49" s="438" t="s">
        <v>1738</v>
      </c>
      <c r="D49" s="439">
        <v>10000.0</v>
      </c>
      <c r="E49" s="439"/>
      <c r="F49" s="439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ht="12.75" customHeight="1">
      <c r="A50" s="67"/>
      <c r="B50" s="440" t="s">
        <v>1739</v>
      </c>
      <c r="C50" s="441" t="s">
        <v>1708</v>
      </c>
      <c r="D50" s="442">
        <v>200000.0</v>
      </c>
      <c r="E50" s="442"/>
      <c r="F50" s="442">
        <f>'Orçamento 2018'!C196+'Orçamento 2018'!D196+'Orçamento 2018'!E196+'Orçamento 2018'!F196+'Orçamento 2019'!C212+'Orçamento 2019'!D212+'Orçamento 2019'!E212+'Orçamento 2019'!F212+'Orçamento 2019'!G212</f>
        <v>107340.497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ht="12.75" customHeight="1">
      <c r="A51" s="67"/>
      <c r="B51" s="437" t="s">
        <v>1740</v>
      </c>
      <c r="C51" s="438" t="s">
        <v>1741</v>
      </c>
      <c r="D51" s="439">
        <v>500.0</v>
      </c>
      <c r="E51" s="439"/>
      <c r="F51" s="439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ht="12.75" customHeight="1">
      <c r="A52" s="67"/>
      <c r="B52" s="437" t="s">
        <v>1742</v>
      </c>
      <c r="C52" s="438" t="s">
        <v>1743</v>
      </c>
      <c r="D52" s="439">
        <v>35000.0</v>
      </c>
      <c r="E52" s="439"/>
      <c r="F52" s="439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2.75" customHeight="1">
      <c r="A53" s="67"/>
      <c r="B53" s="437" t="s">
        <v>1744</v>
      </c>
      <c r="C53" s="438" t="s">
        <v>1745</v>
      </c>
      <c r="D53" s="439">
        <v>30000.0</v>
      </c>
      <c r="E53" s="439"/>
      <c r="F53" s="439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ht="12.75" customHeight="1">
      <c r="A54" s="67"/>
      <c r="B54" s="437" t="s">
        <v>1746</v>
      </c>
      <c r="C54" s="438" t="s">
        <v>1747</v>
      </c>
      <c r="D54" s="439">
        <v>500.0</v>
      </c>
      <c r="E54" s="439"/>
      <c r="F54" s="439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ht="12.75" customHeight="1">
      <c r="A55" s="67"/>
      <c r="B55" s="447" t="s">
        <v>1620</v>
      </c>
      <c r="C55" s="448"/>
      <c r="D55" s="449">
        <f t="shared" ref="D55:F55" si="1">SUM(D9:D54)</f>
        <v>30003526</v>
      </c>
      <c r="E55" s="449">
        <f t="shared" si="1"/>
        <v>0</v>
      </c>
      <c r="F55" s="449">
        <f t="shared" si="1"/>
        <v>23004957.23</v>
      </c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ht="12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ht="12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ht="12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2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2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2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2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2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2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2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2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2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2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2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2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2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2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2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2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2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2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2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2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2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ht="12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ht="12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ht="12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ht="12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2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2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2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2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2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2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2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2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2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2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ht="12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ht="12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ht="12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ht="12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2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2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2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ht="12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ht="12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2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2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2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2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2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2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2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2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2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2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2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2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2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2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2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2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2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ht="12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2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2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2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12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12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12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2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12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2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2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2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2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2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2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2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2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ht="12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2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2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2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2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2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2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2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2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ht="12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ht="12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ht="12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2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2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2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2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ht="12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ht="12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ht="12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ht="12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ht="12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ht="12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ht="12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ht="12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ht="12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ht="12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ht="12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ht="12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ht="12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ht="12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ht="12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ht="12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2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ht="12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2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ht="12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ht="12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2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ht="12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ht="12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2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ht="12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ht="12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ht="12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ht="12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2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2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2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2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2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ht="12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ht="12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ht="12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ht="12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ht="12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2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2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2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2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2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ht="12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ht="12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ht="12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ht="12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ht="12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ht="12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ht="12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ht="12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ht="12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ht="12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ht="12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ht="12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ht="12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2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2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2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2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ht="12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2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2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2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2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ht="12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2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2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ht="12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ht="12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ht="12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ht="12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ht="12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ht="12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ht="12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ht="12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ht="12.75" customHeight="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ht="12.75" customHeight="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ht="12.75" customHeight="1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ht="12.75" customHeight="1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ht="12.75" customHeight="1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ht="12.7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2.7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2.75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ht="12.75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ht="12.75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ht="12.75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ht="12.75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ht="12.7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ht="12.7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ht="12.7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ht="12.7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ht="12.75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ht="12.75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ht="12.75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ht="12.75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ht="12.75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ht="12.75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ht="12.75" customHeight="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ht="12.75" customHeight="1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ht="12.75" customHeight="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ht="12.75" customHeight="1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ht="12.75" customHeight="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ht="12.75" customHeight="1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ht="12.75" customHeight="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ht="12.75" customHeight="1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ht="12.75" customHeight="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ht="12.75" customHeight="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ht="12.75" customHeight="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ht="12.75" customHeight="1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ht="12.75" customHeight="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ht="12.75" customHeight="1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ht="12.75" customHeight="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ht="12.75" customHeight="1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ht="12.75" customHeight="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ht="12.75" customHeight="1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ht="12.75" customHeight="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ht="12.75" customHeight="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ht="12.75" customHeight="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ht="12.75" customHeight="1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ht="12.75" customHeight="1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ht="12.75" customHeight="1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ht="12.75" customHeight="1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ht="12.75" customHeight="1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ht="12.75" customHeight="1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ht="12.75" customHeight="1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ht="12.75" customHeight="1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ht="12.75" customHeight="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ht="12.75" customHeight="1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ht="12.75" customHeight="1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ht="12.75" customHeight="1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ht="12.75" customHeight="1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ht="12.75" customHeight="1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ht="12.75" customHeight="1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ht="12.75" customHeight="1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ht="12.75" customHeight="1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ht="12.75" customHeight="1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ht="12.75" customHeight="1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ht="12.75" customHeight="1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ht="12.75" customHeight="1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ht="12.75" customHeight="1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ht="12.75" customHeight="1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ht="12.75" customHeight="1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ht="12.75" customHeight="1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ht="12.75" customHeight="1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ht="12.75" customHeight="1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ht="12.75" customHeight="1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ht="12.75" customHeight="1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ht="12.75" customHeight="1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ht="12.75" customHeight="1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ht="12.75" customHeight="1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ht="12.75" customHeight="1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ht="12.75" customHeight="1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ht="12.75" customHeight="1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ht="12.75" customHeight="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ht="12.75" customHeight="1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ht="12.75" customHeight="1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ht="12.75" customHeight="1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ht="12.75" customHeight="1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ht="12.75" customHeight="1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ht="12.75" customHeight="1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ht="12.75" customHeight="1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ht="12.75" customHeight="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ht="12.75" customHeight="1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ht="12.75" customHeight="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ht="12.75" customHeight="1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ht="12.75" customHeight="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ht="12.75" customHeight="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ht="12.75" customHeight="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ht="12.75" customHeight="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ht="12.75" customHeight="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ht="12.75" customHeight="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ht="12.75" customHeight="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ht="12.75" customHeight="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ht="12.75" customHeight="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ht="12.75" customHeight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2.75" customHeight="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2.75" customHeight="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2.75" customHeight="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2.75" customHeight="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2.75" customHeigh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2.75" customHeight="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2.75" customHeight="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2.75" customHeight="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2.75" customHeight="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2.75" customHeight="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2.75" customHeight="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ht="12.75" customHeight="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2.75" customHeight="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2.75" customHeight="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ht="12.75" customHeight="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ht="12.75" customHeight="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ht="12.75" customHeight="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ht="12.75" customHeight="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ht="12.75" customHeight="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ht="12.75" customHeight="1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ht="12.75" customHeight="1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ht="12.75" customHeight="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ht="12.75" customHeight="1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ht="12.75" customHeight="1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ht="12.75" customHeight="1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ht="12.75" customHeight="1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ht="12.75" customHeight="1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ht="12.75" customHeight="1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ht="12.75" customHeight="1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2.75" customHeight="1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ht="12.75" customHeight="1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ht="12.75" customHeight="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ht="12.75" customHeight="1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ht="12.75" customHeight="1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ht="12.75" customHeight="1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ht="12.75" customHeight="1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ht="12.75" customHeight="1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ht="12.75" customHeight="1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ht="12.75" customHeight="1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ht="12.75" customHeight="1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ht="12.75" customHeight="1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ht="12.75" customHeight="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ht="12.75" customHeight="1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ht="12.75" customHeight="1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ht="12.75" customHeight="1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ht="12.75" customHeight="1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ht="12.75" customHeight="1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ht="12.75" customHeight="1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ht="12.75" customHeight="1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ht="12.75" customHeight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ht="12.75" customHeight="1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ht="12.75" customHeight="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ht="12.75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ht="12.75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ht="12.75" customHeight="1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ht="12.75" customHeight="1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ht="12.75" customHeight="1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ht="12.75" customHeight="1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ht="12.75" customHeight="1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ht="12.75" customHeight="1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ht="12.75" customHeight="1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ht="12.75" customHeight="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ht="12.75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ht="12.75" customHeight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ht="12.75" customHeight="1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ht="12.75" customHeight="1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ht="12.75" customHeight="1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ht="12.75" customHeight="1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ht="12.75" customHeight="1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ht="12.75" customHeight="1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ht="12.75" customHeight="1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ht="12.75" customHeight="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ht="12.75" customHeight="1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ht="12.75" customHeight="1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ht="12.75" customHeight="1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ht="12.75" customHeight="1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ht="12.75" customHeight="1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ht="12.75" customHeight="1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ht="12.75" customHeight="1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ht="12.75" customHeight="1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ht="12.75" customHeight="1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ht="12.75" customHeight="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ht="12.75" customHeight="1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ht="12.75" customHeight="1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ht="12.75" customHeigh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ht="12.75" customHeight="1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ht="12.75" customHeight="1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ht="12.75" customHeight="1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ht="12.75" customHeight="1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ht="12.75" customHeight="1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ht="12.75" customHeight="1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ht="12.75" customHeight="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ht="12.75" customHeight="1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ht="12.75" customHeight="1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ht="12.75" customHeight="1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ht="12.75" customHeight="1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ht="12.75" customHeight="1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ht="12.75" customHeight="1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ht="12.75" customHeight="1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ht="12.75" customHeight="1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ht="12.75" customHeight="1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ht="12.75" customHeight="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ht="12.75" customHeight="1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ht="12.75" customHeight="1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ht="12.75" customHeight="1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ht="12.75" customHeight="1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2.75" customHeight="1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ht="12.75" customHeight="1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ht="12.75" customHeight="1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ht="12.75" customHeight="1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ht="12.75" customHeight="1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ht="12.75" customHeight="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ht="12.75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ht="12.75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ht="12.75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ht="12.75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ht="12.75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ht="12.75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ht="12.75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ht="12.75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ht="12.75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ht="12.75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ht="12.75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ht="12.75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ht="12.75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ht="12.75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ht="12.75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ht="12.75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ht="12.75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ht="12.75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ht="12.75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ht="12.75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ht="12.7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ht="12.7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ht="12.7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ht="12.7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ht="12.7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ht="12.7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ht="12.7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ht="12.7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ht="12.7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ht="12.7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ht="12.7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ht="12.7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ht="12.7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ht="12.7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ht="12.7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ht="12.7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ht="12.7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ht="12.7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ht="12.7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ht="12.7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ht="12.7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ht="12.7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ht="12.7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ht="12.7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ht="12.7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ht="12.7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ht="12.7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ht="12.7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ht="12.7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ht="12.7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ht="12.7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ht="12.7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ht="12.7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ht="12.7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ht="12.7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ht="12.7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ht="12.7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ht="12.7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ht="12.7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ht="12.7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ht="12.7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ht="12.7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ht="12.7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ht="12.7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ht="12.7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ht="12.7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ht="12.7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ht="12.7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ht="12.7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ht="12.7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ht="12.7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ht="12.7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ht="12.7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ht="12.7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ht="12.7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ht="12.7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ht="12.7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ht="12.7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ht="12.7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ht="12.7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ht="12.7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ht="12.7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2.7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ht="12.7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ht="12.7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ht="12.7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ht="12.7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ht="12.7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ht="12.7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ht="12.7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ht="12.7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ht="12.7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ht="12.7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ht="12.7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ht="12.7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ht="12.7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ht="12.7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ht="12.7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ht="12.7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ht="12.7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ht="12.7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ht="12.7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ht="12.7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ht="12.7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ht="12.7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ht="12.7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ht="12.7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ht="12.7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ht="12.7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ht="12.7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ht="12.7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ht="12.7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ht="12.7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ht="12.7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ht="12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ht="12.7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ht="12.7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ht="12.7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ht="12.7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ht="12.7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ht="12.7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ht="12.7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ht="12.7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ht="12.7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ht="12.7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ht="12.7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ht="12.7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ht="12.7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ht="12.7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ht="12.7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ht="12.7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ht="12.7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ht="12.7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ht="12.7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ht="12.7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ht="12.7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ht="12.7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ht="12.7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ht="12.7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ht="12.7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ht="12.7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ht="12.7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ht="12.7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ht="12.7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ht="12.7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ht="12.7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ht="12.7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ht="12.7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ht="12.7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ht="12.7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ht="12.7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ht="12.7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ht="12.7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ht="12.7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ht="12.7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ht="12.7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ht="12.7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ht="12.7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ht="12.7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ht="12.7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ht="12.7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ht="12.7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ht="12.7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ht="12.7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ht="12.7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ht="12.7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ht="12.7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ht="12.7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ht="12.7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ht="12.7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ht="12.7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ht="12.7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ht="12.7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ht="12.7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ht="12.7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ht="12.7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ht="12.7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ht="12.7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ht="12.7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ht="12.7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ht="12.7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ht="12.7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ht="12.7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ht="12.7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ht="12.7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ht="12.7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ht="12.7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ht="12.7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ht="12.7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ht="12.7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ht="12.7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ht="12.7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ht="12.7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ht="12.7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ht="12.7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ht="12.7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ht="12.7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ht="12.7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ht="12.7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ht="12.7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ht="12.7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ht="12.7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ht="12.7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ht="12.7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ht="12.7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ht="12.7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ht="12.7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ht="12.7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ht="12.7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ht="12.7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ht="12.7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ht="12.7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ht="12.7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ht="12.7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ht="12.7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ht="12.7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ht="12.7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2.7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ht="12.7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2.7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ht="12.7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ht="12.7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ht="12.7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ht="12.7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ht="12.7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ht="12.7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ht="12.7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ht="12.7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ht="12.7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ht="12.7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ht="12.7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ht="12.7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ht="12.7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ht="12.7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ht="12.7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ht="12.7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ht="12.7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ht="12.7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ht="12.7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ht="12.7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ht="12.7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ht="12.7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ht="12.7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ht="12.7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ht="12.7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ht="12.7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ht="12.7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ht="12.7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ht="12.7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ht="12.7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ht="12.7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ht="12.7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ht="12.7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ht="12.7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ht="12.7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ht="12.7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ht="12.7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ht="12.7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ht="12.7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ht="12.7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ht="12.7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ht="12.7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ht="12.7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ht="12.7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ht="12.7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ht="12.7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ht="12.7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ht="12.7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ht="12.7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ht="12.7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ht="12.7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ht="12.7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2.7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ht="12.7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ht="12.7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ht="12.7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ht="12.7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ht="12.7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ht="12.7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ht="12.7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ht="12.7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ht="12.7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ht="12.7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ht="12.7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ht="12.7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ht="12.7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ht="12.7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ht="12.7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ht="12.7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ht="12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ht="12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ht="12.7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ht="12.7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ht="12.7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ht="12.7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ht="12.7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ht="12.7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ht="12.7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ht="12.7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ht="12.7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ht="12.7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ht="12.7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ht="12.7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ht="12.7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ht="12.7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ht="12.7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ht="12.7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ht="12.7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ht="12.7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ht="12.7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ht="12.7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ht="12.7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ht="12.7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ht="12.7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ht="12.7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ht="12.7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ht="12.7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ht="12.7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ht="12.7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ht="12.7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ht="12.7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ht="12.7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ht="12.7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ht="12.7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ht="12.7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ht="12.7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ht="12.7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ht="12.7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ht="12.7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ht="12.7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ht="12.7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ht="12.7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ht="12.7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ht="12.7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ht="12.7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ht="12.7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ht="12.7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ht="12.7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ht="12.7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ht="12.7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ht="12.7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ht="12.7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ht="12.7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ht="12.7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ht="12.7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ht="12.7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ht="12.7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ht="12.7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ht="12.7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ht="12.7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ht="12.7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ht="12.7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ht="12.7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ht="12.7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ht="12.7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ht="12.7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ht="12.7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ht="12.7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ht="12.7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ht="12.7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ht="12.7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ht="12.7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ht="12.7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ht="12.7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ht="12.7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ht="12.7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ht="12.7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ht="12.7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ht="12.7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ht="12.7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ht="12.7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ht="12.7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ht="12.7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ht="12.7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ht="12.7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ht="12.7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ht="12.7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ht="12.7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ht="12.7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ht="12.7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ht="12.7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ht="12.7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ht="12.7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ht="12.7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ht="12.7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ht="12.7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ht="12.7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ht="12.7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ht="12.7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ht="12.7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ht="12.7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ht="12.7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ht="12.7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ht="12.7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ht="12.7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ht="12.7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ht="12.7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ht="12.7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ht="12.7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ht="12.7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ht="12.7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ht="12.7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ht="12.7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ht="12.7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ht="12.7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ht="12.7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ht="12.7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ht="12.7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ht="12.7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ht="12.7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ht="12.7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ht="12.7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ht="12.7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ht="12.7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ht="12.7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ht="12.7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ht="12.7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ht="12.7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ht="12.7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ht="12.7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ht="12.7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ht="12.7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ht="12.7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ht="12.7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ht="12.7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ht="12.7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ht="12.7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ht="12.7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ht="12.7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ht="12.7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ht="12.7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ht="12.7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ht="12.7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ht="12.7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ht="12.7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ht="12.7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ht="12.7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ht="12.7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ht="12.7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ht="12.7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ht="12.7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ht="12.7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ht="12.7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ht="12.7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ht="12.7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ht="12.7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ht="12.7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ht="12.7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ht="12.7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ht="12.7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ht="12.7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ht="12.7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ht="12.7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ht="12.7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ht="12.7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ht="12.7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ht="12.7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ht="12.7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ht="12.7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ht="12.7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ht="12.7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ht="12.7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ht="12.7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ht="12.7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ht="12.7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ht="12.7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ht="12.7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ht="12.7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ht="12.75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ht="12.75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ht="12.75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ht="12.75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ht="12.75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ht="12.75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ht="12.75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ht="12.75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ht="12.75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ht="12.75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ht="12.75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ht="12.75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ht="12.75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ht="12.75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ht="12.75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ht="12.75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ht="12.75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ht="12.75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ht="12.75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ht="12.75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ht="12.75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ht="12.75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ht="12.75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ht="12.75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ht="12.75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ht="12.75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ht="12.75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ht="12.75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ht="12.75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ht="12.75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ht="12.75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ht="12.75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ht="12.75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ht="12.75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ht="12.75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ht="12.75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ht="12.75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ht="12.75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ht="12.75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ht="12.75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ht="12.75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ht="12.75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ht="12.75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ht="12.75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ht="12.75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ht="12.75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ht="12.75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ht="12.75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ht="12.75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ht="12.75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ht="12.75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ht="12.75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ht="12.75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ht="12.75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ht="12.75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ht="12.75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ht="12.75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ht="12.75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ht="12.75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ht="12.75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ht="12.75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ht="12.75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ht="12.75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ht="12.75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ht="12.75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ht="12.75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ht="12.75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ht="12.75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ht="12.75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ht="12.75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ht="12.75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ht="12.75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ht="12.75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ht="12.75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ht="12.75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ht="12.75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ht="12.75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ht="12.75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ht="12.75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ht="12.75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ht="12.75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ht="12.75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ht="12.75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ht="12.75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ht="12.75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ht="12.75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ht="12.75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ht="12.75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ht="12.75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ht="12.75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ht="12.75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mergeCells count="2">
    <mergeCell ref="D7:F7"/>
    <mergeCell ref="B55:C55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hidden="1" min="1" max="1" width="0.29"/>
    <col customWidth="1" hidden="1" min="2" max="4" width="8.0"/>
    <col customWidth="1" min="5" max="5" width="43.0"/>
    <col customWidth="1" min="6" max="6" width="13.29"/>
    <col customWidth="1" min="7" max="7" width="18.86"/>
    <col customWidth="1" min="8" max="8" width="24.71"/>
    <col customWidth="1" min="9" max="9" width="0.29"/>
    <col customWidth="1" min="10" max="10" width="8.0"/>
    <col customWidth="1" min="11" max="11" width="0.29"/>
    <col customWidth="1" min="12" max="12" width="48.71"/>
    <col customWidth="1" min="13" max="13" width="13.29"/>
    <col customWidth="1" min="14" max="15" width="22.14"/>
    <col customWidth="1" min="16" max="16" width="34.29"/>
    <col customWidth="1" min="17" max="26" width="8.0"/>
  </cols>
  <sheetData>
    <row r="1" ht="12.75" customHeight="1">
      <c r="E1" s="450" t="s">
        <v>1748</v>
      </c>
      <c r="F1" s="451"/>
      <c r="G1" s="452"/>
      <c r="L1" s="450" t="s">
        <v>1749</v>
      </c>
      <c r="M1" s="451"/>
      <c r="N1" s="452"/>
      <c r="O1" s="127"/>
      <c r="P1" s="5"/>
    </row>
    <row r="2" ht="12.75" customHeight="1">
      <c r="L2" s="453"/>
      <c r="M2" s="453"/>
      <c r="N2" s="454" t="s">
        <v>1750</v>
      </c>
      <c r="O2" s="455" t="s">
        <v>1751</v>
      </c>
      <c r="P2" s="454" t="s">
        <v>1752</v>
      </c>
    </row>
    <row r="3" ht="14.25" customHeight="1">
      <c r="E3" s="34" t="s">
        <v>1753</v>
      </c>
      <c r="F3" s="456" t="s">
        <v>1754</v>
      </c>
      <c r="G3" s="457">
        <v>1018.8</v>
      </c>
      <c r="L3" s="60" t="s">
        <v>1755</v>
      </c>
      <c r="M3" s="458" t="s">
        <v>1756</v>
      </c>
      <c r="N3" s="459">
        <v>12500.0</v>
      </c>
      <c r="O3" s="237">
        <v>150000.0</v>
      </c>
      <c r="P3" s="60">
        <v>43277.0</v>
      </c>
    </row>
    <row r="4" ht="14.25" customHeight="1">
      <c r="E4" s="34" t="s">
        <v>1757</v>
      </c>
      <c r="F4" s="456" t="s">
        <v>1758</v>
      </c>
      <c r="G4" s="457">
        <v>51369.67</v>
      </c>
      <c r="L4" s="60" t="s">
        <v>1759</v>
      </c>
      <c r="M4" s="458" t="s">
        <v>1760</v>
      </c>
      <c r="N4" s="459">
        <v>9504.28</v>
      </c>
      <c r="O4" s="237">
        <f>26136.78*4</f>
        <v>104547.12</v>
      </c>
      <c r="P4" s="60">
        <v>43205.0</v>
      </c>
    </row>
    <row r="5" ht="14.25" customHeight="1">
      <c r="E5" s="34" t="s">
        <v>1518</v>
      </c>
      <c r="F5" s="456" t="s">
        <v>1761</v>
      </c>
      <c r="G5" s="457">
        <v>22793.5</v>
      </c>
      <c r="L5" s="60" t="s">
        <v>1615</v>
      </c>
      <c r="M5" s="458" t="s">
        <v>1762</v>
      </c>
      <c r="N5" s="459">
        <v>10400.0</v>
      </c>
      <c r="O5" s="460">
        <f>124800</f>
        <v>124800</v>
      </c>
      <c r="P5" s="58" t="s">
        <v>1763</v>
      </c>
    </row>
    <row r="6" ht="14.25" customHeight="1">
      <c r="E6" s="34" t="s">
        <v>1545</v>
      </c>
      <c r="F6" s="456" t="s">
        <v>1764</v>
      </c>
      <c r="G6" s="457">
        <v>24801.0</v>
      </c>
      <c r="L6" s="60" t="s">
        <v>902</v>
      </c>
      <c r="M6" s="458" t="s">
        <v>1765</v>
      </c>
      <c r="N6" s="459">
        <v>1518.32</v>
      </c>
      <c r="O6" s="460">
        <v>18219.8</v>
      </c>
      <c r="P6" s="60">
        <v>43327.0</v>
      </c>
    </row>
    <row r="7" ht="14.25" customHeight="1">
      <c r="E7" s="34" t="s">
        <v>1766</v>
      </c>
      <c r="F7" s="456" t="s">
        <v>1767</v>
      </c>
      <c r="G7" s="457">
        <v>11587.0</v>
      </c>
      <c r="L7" s="48" t="s">
        <v>1768</v>
      </c>
      <c r="M7" s="461" t="s">
        <v>1769</v>
      </c>
      <c r="N7" s="462">
        <v>15314.65</v>
      </c>
      <c r="O7" s="462">
        <v>83769.99</v>
      </c>
      <c r="P7" s="48">
        <v>42988.0</v>
      </c>
    </row>
    <row r="8" ht="14.25" customHeight="1">
      <c r="E8" s="34" t="s">
        <v>1642</v>
      </c>
      <c r="F8" s="456" t="s">
        <v>1770</v>
      </c>
      <c r="G8" s="457">
        <v>11305.0</v>
      </c>
      <c r="L8" s="60" t="s">
        <v>1771</v>
      </c>
      <c r="M8" s="458" t="s">
        <v>1772</v>
      </c>
      <c r="N8" s="459">
        <v>9000.0</v>
      </c>
      <c r="O8" s="460">
        <v>94723.78</v>
      </c>
      <c r="P8" s="60">
        <v>43315.0</v>
      </c>
    </row>
    <row r="9" ht="14.25" customHeight="1">
      <c r="E9" s="34" t="s">
        <v>1484</v>
      </c>
      <c r="F9" s="456" t="s">
        <v>1773</v>
      </c>
      <c r="G9" s="457">
        <v>33229.0</v>
      </c>
      <c r="L9" s="60" t="s">
        <v>1774</v>
      </c>
      <c r="M9" s="458" t="s">
        <v>1775</v>
      </c>
      <c r="N9" s="459">
        <f>O9/12</f>
        <v>18930.915</v>
      </c>
      <c r="O9" s="460">
        <v>227170.98</v>
      </c>
      <c r="P9" s="60">
        <v>43354.0</v>
      </c>
      <c r="Q9" s="24">
        <v>42990.0</v>
      </c>
    </row>
    <row r="10" ht="14.25" customHeight="1">
      <c r="E10" s="34" t="s">
        <v>1776</v>
      </c>
      <c r="F10" s="456" t="s">
        <v>1777</v>
      </c>
      <c r="G10" s="457">
        <v>39800.0</v>
      </c>
      <c r="L10" s="60" t="s">
        <v>1493</v>
      </c>
      <c r="M10" s="458" t="s">
        <v>1778</v>
      </c>
      <c r="N10" s="459">
        <v>9571.66</v>
      </c>
      <c r="O10" s="460">
        <v>86415.0</v>
      </c>
      <c r="P10" s="60">
        <v>43143.0</v>
      </c>
    </row>
    <row r="11" ht="14.25" customHeight="1">
      <c r="E11" s="34" t="s">
        <v>1546</v>
      </c>
      <c r="F11" s="456" t="s">
        <v>1779</v>
      </c>
      <c r="G11" s="457">
        <v>4786.5</v>
      </c>
      <c r="L11" s="60" t="s">
        <v>1780</v>
      </c>
      <c r="M11" s="458" t="s">
        <v>1781</v>
      </c>
      <c r="N11" s="459">
        <v>36458.33</v>
      </c>
      <c r="O11" s="460">
        <v>437500.0</v>
      </c>
      <c r="P11" s="60">
        <v>43247.0</v>
      </c>
    </row>
    <row r="12" ht="14.25" customHeight="1">
      <c r="E12" s="34" t="s">
        <v>1782</v>
      </c>
      <c r="F12" s="456" t="s">
        <v>1783</v>
      </c>
      <c r="G12" s="457">
        <v>12763.57</v>
      </c>
      <c r="L12" s="60" t="s">
        <v>1784</v>
      </c>
      <c r="M12" s="458" t="s">
        <v>1785</v>
      </c>
      <c r="N12" s="459">
        <f>O12/11</f>
        <v>13527.52727</v>
      </c>
      <c r="O12" s="460">
        <f>198802.8-50000</f>
        <v>148802.8</v>
      </c>
      <c r="P12" s="60">
        <v>43189.0</v>
      </c>
    </row>
    <row r="13" ht="14.25" customHeight="1">
      <c r="E13" s="34" t="s">
        <v>1786</v>
      </c>
      <c r="F13" s="456" t="s">
        <v>1787</v>
      </c>
      <c r="G13" s="457">
        <v>5064.5</v>
      </c>
      <c r="L13" s="60" t="s">
        <v>1474</v>
      </c>
      <c r="M13" s="458" t="s">
        <v>1788</v>
      </c>
      <c r="N13" s="459">
        <f>O13/8</f>
        <v>1787.25</v>
      </c>
      <c r="O13" s="460">
        <f>21447-7149</f>
        <v>14298</v>
      </c>
      <c r="P13" s="60">
        <v>43090.0</v>
      </c>
    </row>
    <row r="14" ht="14.25" customHeight="1">
      <c r="E14" s="34" t="s">
        <v>1636</v>
      </c>
      <c r="F14" s="456" t="s">
        <v>1789</v>
      </c>
      <c r="G14" s="457">
        <v>19219.85</v>
      </c>
      <c r="L14" s="60" t="s">
        <v>1790</v>
      </c>
      <c r="M14" s="458" t="s">
        <v>1791</v>
      </c>
      <c r="N14" s="459">
        <v>8449.29</v>
      </c>
      <c r="O14" s="460">
        <v>101391.5</v>
      </c>
      <c r="P14" s="60">
        <v>43286.0</v>
      </c>
    </row>
    <row r="15" ht="14.25" customHeight="1">
      <c r="E15" s="34" t="s">
        <v>1792</v>
      </c>
      <c r="F15" s="456" t="s">
        <v>1793</v>
      </c>
      <c r="G15" s="457">
        <v>26346.75</v>
      </c>
      <c r="L15" s="60" t="s">
        <v>1794</v>
      </c>
      <c r="M15" s="458" t="s">
        <v>1795</v>
      </c>
      <c r="N15" s="460">
        <v>12133.33</v>
      </c>
      <c r="O15" s="460">
        <v>145600.0</v>
      </c>
      <c r="P15" s="60">
        <v>43227.0</v>
      </c>
    </row>
    <row r="16" ht="14.25" customHeight="1">
      <c r="E16" s="34" t="s">
        <v>1796</v>
      </c>
      <c r="F16" s="463" t="s">
        <v>1797</v>
      </c>
      <c r="G16" s="457">
        <v>5381.0</v>
      </c>
      <c r="L16" s="60" t="s">
        <v>1153</v>
      </c>
      <c r="M16" s="458" t="s">
        <v>1798</v>
      </c>
      <c r="N16" s="459">
        <f>O16/6</f>
        <v>4839.066667</v>
      </c>
      <c r="O16" s="460">
        <v>29034.4</v>
      </c>
      <c r="P16" s="60">
        <v>43188.0</v>
      </c>
    </row>
    <row r="17" ht="14.25" customHeight="1">
      <c r="E17" s="34" t="s">
        <v>1799</v>
      </c>
      <c r="F17" s="464" t="s">
        <v>1800</v>
      </c>
      <c r="G17" s="457">
        <v>21826.33</v>
      </c>
      <c r="L17" s="60" t="s">
        <v>1801</v>
      </c>
      <c r="M17" s="458" t="s">
        <v>1802</v>
      </c>
      <c r="N17" s="459">
        <v>21359.3</v>
      </c>
      <c r="O17" s="460">
        <v>256311.65</v>
      </c>
      <c r="P17" s="60">
        <v>43292.0</v>
      </c>
    </row>
    <row r="18" ht="14.25" customHeight="1">
      <c r="E18" s="34" t="s">
        <v>1530</v>
      </c>
      <c r="F18" s="465" t="s">
        <v>1803</v>
      </c>
      <c r="G18" s="457">
        <v>7810.0</v>
      </c>
      <c r="L18" s="60" t="s">
        <v>1804</v>
      </c>
      <c r="M18" s="458" t="s">
        <v>1805</v>
      </c>
      <c r="N18" s="459">
        <v>6000.0</v>
      </c>
      <c r="O18" s="460">
        <v>72000.0</v>
      </c>
      <c r="P18" s="60">
        <v>43395.0</v>
      </c>
      <c r="Q18" s="24"/>
    </row>
    <row r="19" ht="14.25" customHeight="1">
      <c r="E19" s="34" t="s">
        <v>1806</v>
      </c>
      <c r="F19" s="465" t="s">
        <v>1807</v>
      </c>
      <c r="G19" s="457">
        <v>32821.33</v>
      </c>
      <c r="L19" s="60" t="s">
        <v>1808</v>
      </c>
      <c r="M19" s="466" t="s">
        <v>1809</v>
      </c>
      <c r="N19" s="460">
        <v>1313.33</v>
      </c>
      <c r="O19" s="460">
        <v>7880.0</v>
      </c>
      <c r="P19" s="60">
        <v>43199.0</v>
      </c>
    </row>
    <row r="20" ht="14.25" customHeight="1">
      <c r="E20" s="34" t="s">
        <v>1810</v>
      </c>
      <c r="F20" s="465" t="s">
        <v>1811</v>
      </c>
      <c r="G20" s="457">
        <v>3655.0</v>
      </c>
      <c r="L20" s="60" t="s">
        <v>1812</v>
      </c>
      <c r="M20" s="466" t="s">
        <v>1813</v>
      </c>
      <c r="N20" s="459">
        <v>6823.33</v>
      </c>
      <c r="O20" s="460">
        <v>81879.96</v>
      </c>
      <c r="P20" s="60">
        <v>43164.0</v>
      </c>
    </row>
    <row r="21" ht="14.25" customHeight="1">
      <c r="E21" s="124" t="s">
        <v>1814</v>
      </c>
      <c r="F21" s="467" t="s">
        <v>1815</v>
      </c>
      <c r="G21" s="459">
        <v>9329.6</v>
      </c>
      <c r="H21" t="s">
        <v>1816</v>
      </c>
      <c r="L21" s="60" t="s">
        <v>1817</v>
      </c>
      <c r="M21" s="468" t="s">
        <v>1818</v>
      </c>
      <c r="N21" s="459">
        <v>2850.75</v>
      </c>
      <c r="O21" s="460">
        <v>34209.0</v>
      </c>
      <c r="P21" s="60">
        <v>43312.0</v>
      </c>
    </row>
    <row r="22" ht="14.25" customHeight="1">
      <c r="E22" s="34" t="s">
        <v>1459</v>
      </c>
      <c r="F22" s="465" t="s">
        <v>1819</v>
      </c>
      <c r="G22" s="457">
        <v>5648.2</v>
      </c>
      <c r="L22" s="60" t="s">
        <v>1820</v>
      </c>
      <c r="M22" s="466" t="s">
        <v>1821</v>
      </c>
      <c r="N22" s="459">
        <v>15377.46</v>
      </c>
      <c r="O22" s="460">
        <v>184529.62</v>
      </c>
      <c r="P22" s="58" t="s">
        <v>1822</v>
      </c>
    </row>
    <row r="23" ht="14.25" customHeight="1">
      <c r="E23" s="34" t="s">
        <v>1629</v>
      </c>
      <c r="F23" s="465" t="s">
        <v>1823</v>
      </c>
      <c r="G23" s="457">
        <v>34151.38</v>
      </c>
      <c r="L23" s="60" t="s">
        <v>1626</v>
      </c>
      <c r="M23" s="466" t="s">
        <v>1824</v>
      </c>
      <c r="N23" s="459">
        <v>1247.2</v>
      </c>
      <c r="O23" s="460">
        <v>14966.4</v>
      </c>
      <c r="P23" s="60">
        <v>43249.0</v>
      </c>
    </row>
    <row r="24" ht="14.25" customHeight="1">
      <c r="E24" s="34" t="s">
        <v>1825</v>
      </c>
      <c r="F24" s="465" t="s">
        <v>1826</v>
      </c>
      <c r="G24" s="457">
        <v>2700.0</v>
      </c>
      <c r="L24" s="60" t="s">
        <v>1827</v>
      </c>
      <c r="M24" s="466" t="s">
        <v>1828</v>
      </c>
      <c r="N24" s="459">
        <v>1307.2</v>
      </c>
      <c r="O24" s="460">
        <v>7843.2</v>
      </c>
      <c r="P24" s="60">
        <v>43195.0</v>
      </c>
    </row>
    <row r="25" ht="14.25" customHeight="1">
      <c r="E25" s="34" t="s">
        <v>1829</v>
      </c>
      <c r="F25" s="465" t="s">
        <v>1830</v>
      </c>
      <c r="G25" s="457">
        <v>7550.0</v>
      </c>
      <c r="L25" s="60" t="s">
        <v>909</v>
      </c>
      <c r="M25" s="466" t="s">
        <v>1831</v>
      </c>
      <c r="N25" s="459">
        <v>289705.61</v>
      </c>
      <c r="O25" s="460">
        <v>3476467.4</v>
      </c>
      <c r="P25" s="60">
        <v>43260.0</v>
      </c>
    </row>
    <row r="26" ht="14.25" customHeight="1">
      <c r="E26" s="34" t="s">
        <v>1832</v>
      </c>
      <c r="F26" s="456" t="s">
        <v>1833</v>
      </c>
      <c r="G26" s="457">
        <v>20746.0</v>
      </c>
      <c r="L26" s="60" t="s">
        <v>1530</v>
      </c>
      <c r="M26" s="466" t="s">
        <v>1834</v>
      </c>
      <c r="N26" s="459">
        <v>27199.03</v>
      </c>
      <c r="O26" s="460">
        <v>326388.32</v>
      </c>
      <c r="P26" s="60">
        <v>43382.0</v>
      </c>
      <c r="Q26" s="24"/>
    </row>
    <row r="27" ht="14.25" customHeight="1">
      <c r="E27" s="34" t="s">
        <v>1545</v>
      </c>
      <c r="F27" s="456" t="s">
        <v>1835</v>
      </c>
      <c r="G27" s="457">
        <v>14767.97</v>
      </c>
      <c r="L27" s="60" t="s">
        <v>1836</v>
      </c>
      <c r="M27" s="458" t="s">
        <v>1837</v>
      </c>
      <c r="N27" s="459">
        <f t="shared" ref="N27:N94" si="1">O27/12</f>
        <v>41944.66667</v>
      </c>
      <c r="O27" s="460">
        <v>503336.0</v>
      </c>
      <c r="P27" s="60">
        <v>43327.0</v>
      </c>
    </row>
    <row r="28" ht="14.25" customHeight="1">
      <c r="E28" s="34" t="s">
        <v>1838</v>
      </c>
      <c r="F28" s="456" t="s">
        <v>1839</v>
      </c>
      <c r="G28" s="457">
        <v>10125.0</v>
      </c>
      <c r="L28" s="60" t="s">
        <v>1840</v>
      </c>
      <c r="M28" s="458" t="s">
        <v>1841</v>
      </c>
      <c r="N28" s="459">
        <f t="shared" si="1"/>
        <v>18836.12</v>
      </c>
      <c r="O28" s="460">
        <v>226033.44</v>
      </c>
      <c r="P28" s="60">
        <v>43341.0</v>
      </c>
      <c r="Q28" s="24"/>
    </row>
    <row r="29" ht="14.25" customHeight="1">
      <c r="E29" s="124" t="s">
        <v>1842</v>
      </c>
      <c r="F29" s="467" t="s">
        <v>1843</v>
      </c>
      <c r="G29" s="459">
        <v>6510.0</v>
      </c>
      <c r="H29" t="s">
        <v>1844</v>
      </c>
      <c r="L29" s="60" t="s">
        <v>1845</v>
      </c>
      <c r="M29" s="458" t="s">
        <v>1846</v>
      </c>
      <c r="N29" s="459">
        <f t="shared" si="1"/>
        <v>1543.333333</v>
      </c>
      <c r="O29" s="460">
        <v>18520.0</v>
      </c>
      <c r="P29" s="60">
        <v>43291.0</v>
      </c>
    </row>
    <row r="30" ht="12.75" customHeight="1">
      <c r="E30" s="124" t="s">
        <v>1847</v>
      </c>
      <c r="F30" s="121" t="s">
        <v>1848</v>
      </c>
      <c r="G30" s="459">
        <v>17527.04</v>
      </c>
      <c r="H30" t="s">
        <v>1844</v>
      </c>
      <c r="L30" s="60" t="s">
        <v>1610</v>
      </c>
      <c r="M30" s="50" t="s">
        <v>1849</v>
      </c>
      <c r="N30" s="459">
        <f t="shared" si="1"/>
        <v>2606.9725</v>
      </c>
      <c r="O30" s="460">
        <v>31283.67</v>
      </c>
      <c r="P30" s="60">
        <v>43301.0</v>
      </c>
    </row>
    <row r="31" ht="14.25" customHeight="1">
      <c r="E31" s="34" t="s">
        <v>1639</v>
      </c>
      <c r="F31" s="456" t="s">
        <v>1850</v>
      </c>
      <c r="G31" s="457">
        <v>53270.0</v>
      </c>
      <c r="I31" s="58"/>
      <c r="J31" s="24"/>
      <c r="L31" s="60" t="s">
        <v>1851</v>
      </c>
      <c r="M31" s="50" t="s">
        <v>1852</v>
      </c>
      <c r="N31" s="459">
        <f t="shared" si="1"/>
        <v>96491.675</v>
      </c>
      <c r="O31" s="459">
        <v>1157900.1</v>
      </c>
      <c r="P31" s="58" t="s">
        <v>1844</v>
      </c>
      <c r="Q31" s="24"/>
    </row>
    <row r="32" ht="14.25" customHeight="1">
      <c r="E32" s="34" t="s">
        <v>1633</v>
      </c>
      <c r="F32" s="456" t="s">
        <v>1853</v>
      </c>
      <c r="G32" s="457">
        <v>8400.0</v>
      </c>
      <c r="L32" s="60" t="s">
        <v>1546</v>
      </c>
      <c r="M32" s="50" t="s">
        <v>1854</v>
      </c>
      <c r="N32" s="459">
        <f t="shared" si="1"/>
        <v>6643.561667</v>
      </c>
      <c r="O32" s="459">
        <v>79722.74</v>
      </c>
      <c r="P32" s="60">
        <v>43371.0</v>
      </c>
      <c r="Q32" s="24"/>
    </row>
    <row r="33" ht="14.25" customHeight="1">
      <c r="E33" s="34" t="s">
        <v>1855</v>
      </c>
      <c r="F33" s="456" t="s">
        <v>1856</v>
      </c>
      <c r="G33" s="457">
        <v>7782.5</v>
      </c>
      <c r="L33" s="60" t="s">
        <v>1395</v>
      </c>
      <c r="M33" s="50" t="s">
        <v>1857</v>
      </c>
      <c r="N33" s="459">
        <f t="shared" si="1"/>
        <v>588.9583333</v>
      </c>
      <c r="O33" s="460">
        <v>7067.5</v>
      </c>
      <c r="P33" s="60">
        <v>43321.0</v>
      </c>
    </row>
    <row r="34" ht="14.25" customHeight="1">
      <c r="E34" s="34" t="s">
        <v>1634</v>
      </c>
      <c r="F34" s="456" t="s">
        <v>1858</v>
      </c>
      <c r="G34" s="457">
        <v>23010.0</v>
      </c>
      <c r="L34" s="60" t="s">
        <v>1859</v>
      </c>
      <c r="M34" s="50" t="s">
        <v>1860</v>
      </c>
      <c r="N34" s="459">
        <f t="shared" si="1"/>
        <v>883.8333333</v>
      </c>
      <c r="O34" s="460">
        <v>10606.0</v>
      </c>
      <c r="P34" s="58" t="s">
        <v>1861</v>
      </c>
      <c r="Q34" s="24"/>
    </row>
    <row r="35" ht="14.25" customHeight="1">
      <c r="E35" s="34" t="s">
        <v>1862</v>
      </c>
      <c r="F35" s="456" t="s">
        <v>1863</v>
      </c>
      <c r="G35" s="457">
        <v>5998.8</v>
      </c>
      <c r="L35" s="60" t="s">
        <v>1864</v>
      </c>
      <c r="M35" s="50" t="s">
        <v>1865</v>
      </c>
      <c r="N35" s="459">
        <f t="shared" si="1"/>
        <v>760.25</v>
      </c>
      <c r="O35" s="460">
        <v>9123.0</v>
      </c>
      <c r="P35" s="60">
        <v>43388.0</v>
      </c>
      <c r="Q35" s="24"/>
    </row>
    <row r="36" ht="14.25" customHeight="1">
      <c r="E36" s="34" t="s">
        <v>1866</v>
      </c>
      <c r="F36" s="456" t="s">
        <v>1867</v>
      </c>
      <c r="G36" s="457">
        <v>447.0</v>
      </c>
      <c r="L36" s="60" t="s">
        <v>1868</v>
      </c>
      <c r="M36" s="50" t="s">
        <v>1869</v>
      </c>
      <c r="N36" s="459">
        <f t="shared" si="1"/>
        <v>11157.09167</v>
      </c>
      <c r="O36" s="460">
        <v>133885.1</v>
      </c>
      <c r="P36" s="60">
        <v>43341.0</v>
      </c>
      <c r="Q36" s="24"/>
    </row>
    <row r="37" ht="12.75" customHeight="1">
      <c r="E37" s="34" t="s">
        <v>1545</v>
      </c>
      <c r="F37" s="29" t="s">
        <v>1870</v>
      </c>
      <c r="G37" s="457">
        <v>78291.47</v>
      </c>
      <c r="L37" s="60" t="s">
        <v>1871</v>
      </c>
      <c r="M37" s="50" t="s">
        <v>1872</v>
      </c>
      <c r="N37" s="459">
        <f t="shared" si="1"/>
        <v>74267.55</v>
      </c>
      <c r="O37" s="459">
        <v>891210.6</v>
      </c>
      <c r="P37" s="60">
        <v>43390.0</v>
      </c>
      <c r="Q37" s="24"/>
    </row>
    <row r="38" ht="14.25" customHeight="1">
      <c r="E38" s="124" t="s">
        <v>1873</v>
      </c>
      <c r="F38" s="467" t="s">
        <v>1874</v>
      </c>
      <c r="G38" s="459">
        <v>32700.0</v>
      </c>
      <c r="H38" t="s">
        <v>1861</v>
      </c>
      <c r="L38" s="60" t="s">
        <v>1875</v>
      </c>
      <c r="M38" s="50" t="s">
        <v>1872</v>
      </c>
      <c r="N38" s="459">
        <f t="shared" si="1"/>
        <v>18116</v>
      </c>
      <c r="O38" s="459">
        <v>217392.0</v>
      </c>
      <c r="P38" s="60">
        <v>43390.0</v>
      </c>
      <c r="Q38" s="24"/>
    </row>
    <row r="39" ht="14.25" customHeight="1">
      <c r="E39" s="34" t="s">
        <v>1546</v>
      </c>
      <c r="F39" s="456" t="s">
        <v>1876</v>
      </c>
      <c r="G39" s="457">
        <v>1614.0</v>
      </c>
      <c r="L39" s="60" t="s">
        <v>1877</v>
      </c>
      <c r="M39" s="50" t="s">
        <v>1878</v>
      </c>
      <c r="N39" s="459">
        <f t="shared" si="1"/>
        <v>148</v>
      </c>
      <c r="O39" s="459">
        <v>1776.0</v>
      </c>
      <c r="P39" s="60">
        <v>43332.0</v>
      </c>
    </row>
    <row r="40" ht="14.25" customHeight="1">
      <c r="E40" s="124" t="s">
        <v>1879</v>
      </c>
      <c r="F40" s="467" t="s">
        <v>1880</v>
      </c>
      <c r="G40" s="459">
        <v>61893.6</v>
      </c>
      <c r="H40" t="s">
        <v>1881</v>
      </c>
      <c r="L40" s="124" t="s">
        <v>934</v>
      </c>
      <c r="M40" s="121" t="s">
        <v>1800</v>
      </c>
      <c r="N40" s="459">
        <f t="shared" si="1"/>
        <v>1816.666667</v>
      </c>
      <c r="O40" s="459">
        <v>21800.0</v>
      </c>
      <c r="P40" s="60">
        <v>43241.0</v>
      </c>
    </row>
    <row r="41" ht="14.25" customHeight="1">
      <c r="E41" s="124" t="s">
        <v>1882</v>
      </c>
      <c r="F41" s="466" t="s">
        <v>1883</v>
      </c>
      <c r="G41" s="469">
        <v>5476.0</v>
      </c>
      <c r="L41" s="60" t="s">
        <v>1884</v>
      </c>
      <c r="M41" s="50" t="s">
        <v>1885</v>
      </c>
      <c r="N41" s="459">
        <f t="shared" si="1"/>
        <v>39515.64167</v>
      </c>
      <c r="O41" s="459">
        <v>474187.7</v>
      </c>
      <c r="P41" s="58" t="s">
        <v>1861</v>
      </c>
      <c r="Q41" s="24"/>
    </row>
    <row r="42" ht="14.25" customHeight="1">
      <c r="E42" s="124" t="s">
        <v>1886</v>
      </c>
      <c r="F42" s="466" t="s">
        <v>1887</v>
      </c>
      <c r="G42" s="469">
        <v>62703.12</v>
      </c>
      <c r="L42" s="60" t="s">
        <v>1888</v>
      </c>
      <c r="M42" s="50" t="s">
        <v>1889</v>
      </c>
      <c r="N42" s="459">
        <f t="shared" si="1"/>
        <v>1219.6925</v>
      </c>
      <c r="O42" s="459">
        <v>14636.31</v>
      </c>
      <c r="P42" s="58" t="s">
        <v>1844</v>
      </c>
    </row>
    <row r="43" ht="14.25" customHeight="1">
      <c r="E43" s="124" t="s">
        <v>1890</v>
      </c>
      <c r="F43" s="466" t="s">
        <v>1891</v>
      </c>
      <c r="G43" s="469">
        <v>2746.0</v>
      </c>
      <c r="L43" s="60" t="s">
        <v>1892</v>
      </c>
      <c r="M43" s="50" t="s">
        <v>1893</v>
      </c>
      <c r="N43" s="459">
        <f t="shared" si="1"/>
        <v>827.9166667</v>
      </c>
      <c r="O43" s="460">
        <v>9935.0</v>
      </c>
      <c r="P43" s="60">
        <v>43377.0</v>
      </c>
      <c r="Q43" s="24"/>
    </row>
    <row r="44" ht="12.75" customHeight="1">
      <c r="L44" s="60" t="s">
        <v>1464</v>
      </c>
      <c r="M44" s="50" t="s">
        <v>1894</v>
      </c>
      <c r="N44" s="459">
        <f t="shared" si="1"/>
        <v>68426.69</v>
      </c>
      <c r="O44" s="460">
        <v>821120.28</v>
      </c>
      <c r="P44" s="58" t="s">
        <v>1895</v>
      </c>
      <c r="Q44" s="24"/>
    </row>
    <row r="45" ht="12.75" customHeight="1">
      <c r="L45" s="60" t="s">
        <v>1896</v>
      </c>
      <c r="M45" s="50" t="s">
        <v>1897</v>
      </c>
      <c r="N45" s="459">
        <f t="shared" si="1"/>
        <v>15705.67167</v>
      </c>
      <c r="O45" s="460">
        <v>188468.06</v>
      </c>
      <c r="P45" s="60">
        <v>43353.0</v>
      </c>
      <c r="Q45" s="24"/>
    </row>
    <row r="46" ht="12.75" customHeight="1">
      <c r="L46" s="60" t="s">
        <v>1898</v>
      </c>
      <c r="M46" s="50" t="s">
        <v>1899</v>
      </c>
      <c r="N46" s="459">
        <f t="shared" si="1"/>
        <v>66666.66667</v>
      </c>
      <c r="O46" s="460">
        <v>800000.0</v>
      </c>
      <c r="P46" s="58" t="s">
        <v>1861</v>
      </c>
    </row>
    <row r="47">
      <c r="G47" s="470">
        <f>SUM(G3:G38)</f>
        <v>674533.76</v>
      </c>
      <c r="L47" s="60" t="s">
        <v>1900</v>
      </c>
      <c r="M47" s="50" t="s">
        <v>1901</v>
      </c>
      <c r="N47" s="459">
        <f t="shared" si="1"/>
        <v>5833.333333</v>
      </c>
      <c r="O47" s="460">
        <v>70000.0</v>
      </c>
      <c r="P47" s="58" t="s">
        <v>1861</v>
      </c>
    </row>
    <row r="48" ht="12.75" customHeight="1">
      <c r="L48" s="60" t="s">
        <v>1902</v>
      </c>
      <c r="M48" s="50" t="s">
        <v>1903</v>
      </c>
      <c r="N48" s="459">
        <f t="shared" si="1"/>
        <v>5523.805</v>
      </c>
      <c r="O48" s="460">
        <v>66285.66</v>
      </c>
      <c r="P48" s="58" t="s">
        <v>1861</v>
      </c>
    </row>
    <row r="49" ht="12.75" customHeight="1">
      <c r="L49" s="60" t="s">
        <v>1439</v>
      </c>
      <c r="M49" s="50" t="s">
        <v>1904</v>
      </c>
      <c r="N49" s="459">
        <f t="shared" si="1"/>
        <v>3174.825833</v>
      </c>
      <c r="O49" s="460">
        <v>38097.91</v>
      </c>
      <c r="P49" s="58" t="s">
        <v>1905</v>
      </c>
      <c r="Q49" s="24"/>
    </row>
    <row r="50" ht="12.75" customHeight="1">
      <c r="L50" s="60" t="s">
        <v>1906</v>
      </c>
      <c r="M50" s="50" t="s">
        <v>1907</v>
      </c>
      <c r="N50" s="459">
        <f t="shared" si="1"/>
        <v>9514.905833</v>
      </c>
      <c r="O50" s="459">
        <v>114178.87</v>
      </c>
      <c r="P50" s="58" t="s">
        <v>1908</v>
      </c>
    </row>
    <row r="51" ht="12.75" customHeight="1">
      <c r="L51" s="60" t="s">
        <v>1645</v>
      </c>
      <c r="M51" s="50" t="s">
        <v>1909</v>
      </c>
      <c r="N51" s="459">
        <f t="shared" si="1"/>
        <v>577.5</v>
      </c>
      <c r="O51" s="460">
        <v>6930.0</v>
      </c>
      <c r="P51" s="60">
        <v>43149.0</v>
      </c>
    </row>
    <row r="52" ht="12.75" customHeight="1">
      <c r="L52" s="60" t="s">
        <v>1910</v>
      </c>
      <c r="M52" s="50" t="s">
        <v>1911</v>
      </c>
      <c r="N52" s="459">
        <f t="shared" si="1"/>
        <v>70541.66667</v>
      </c>
      <c r="O52" s="460">
        <v>846500.0</v>
      </c>
      <c r="P52" s="58" t="s">
        <v>1861</v>
      </c>
    </row>
    <row r="53" ht="12.75" customHeight="1">
      <c r="L53" s="60" t="s">
        <v>1912</v>
      </c>
      <c r="M53" s="50" t="s">
        <v>1913</v>
      </c>
      <c r="N53" s="459">
        <f t="shared" si="1"/>
        <v>70000</v>
      </c>
      <c r="O53" s="460">
        <v>840000.0</v>
      </c>
      <c r="P53" s="58" t="s">
        <v>1861</v>
      </c>
    </row>
    <row r="54" ht="12.75" customHeight="1">
      <c r="L54" s="60" t="s">
        <v>1914</v>
      </c>
      <c r="M54" s="50" t="s">
        <v>1915</v>
      </c>
      <c r="N54" s="459">
        <f t="shared" si="1"/>
        <v>153668.25</v>
      </c>
      <c r="O54" s="127">
        <v>1844019.0</v>
      </c>
      <c r="P54" s="58" t="s">
        <v>1861</v>
      </c>
    </row>
    <row r="55" ht="12.75" customHeight="1">
      <c r="L55" s="60" t="s">
        <v>1464</v>
      </c>
      <c r="M55" s="50" t="s">
        <v>1916</v>
      </c>
      <c r="N55" s="459">
        <f t="shared" si="1"/>
        <v>964.47</v>
      </c>
      <c r="O55" s="460">
        <v>11573.64</v>
      </c>
      <c r="P55" s="58" t="s">
        <v>1861</v>
      </c>
    </row>
    <row r="56" ht="12.75" customHeight="1">
      <c r="L56" s="60" t="s">
        <v>1464</v>
      </c>
      <c r="M56" s="50" t="s">
        <v>1917</v>
      </c>
      <c r="N56" s="459">
        <f t="shared" si="1"/>
        <v>1439.966667</v>
      </c>
      <c r="O56" s="460">
        <v>17279.6</v>
      </c>
      <c r="P56" s="58" t="s">
        <v>1861</v>
      </c>
    </row>
    <row r="57" ht="12.75" customHeight="1">
      <c r="L57" s="60" t="s">
        <v>1918</v>
      </c>
      <c r="M57" s="471" t="s">
        <v>1919</v>
      </c>
      <c r="N57" s="459">
        <f t="shared" si="1"/>
        <v>20000</v>
      </c>
      <c r="O57" s="460">
        <v>240000.0</v>
      </c>
      <c r="P57" s="60">
        <v>43455.0</v>
      </c>
    </row>
    <row r="58" ht="12.75" customHeight="1">
      <c r="L58" s="60" t="s">
        <v>1920</v>
      </c>
      <c r="M58" s="50" t="s">
        <v>1921</v>
      </c>
      <c r="N58" s="459">
        <f t="shared" si="1"/>
        <v>34586.25</v>
      </c>
      <c r="O58" s="460">
        <v>415035.0</v>
      </c>
      <c r="P58" s="60">
        <v>43441.0</v>
      </c>
    </row>
    <row r="59" ht="12.75" customHeight="1">
      <c r="L59" s="60" t="s">
        <v>1922</v>
      </c>
      <c r="M59" s="50" t="s">
        <v>1923</v>
      </c>
      <c r="N59" s="459">
        <f t="shared" si="1"/>
        <v>34586.25</v>
      </c>
      <c r="O59" s="460">
        <v>415035.0</v>
      </c>
      <c r="P59" s="60">
        <v>43441.0</v>
      </c>
    </row>
    <row r="60" ht="12.75" customHeight="1">
      <c r="L60" s="60" t="s">
        <v>1924</v>
      </c>
      <c r="M60" s="50" t="s">
        <v>1925</v>
      </c>
      <c r="N60" s="459">
        <f t="shared" si="1"/>
        <v>119333.1</v>
      </c>
      <c r="O60" s="460">
        <v>1431997.2</v>
      </c>
      <c r="P60" s="60">
        <v>43441.0</v>
      </c>
    </row>
    <row r="61" ht="12.75" customHeight="1">
      <c r="L61" s="60" t="s">
        <v>1926</v>
      </c>
      <c r="M61" s="50" t="s">
        <v>1927</v>
      </c>
      <c r="N61" s="459">
        <f t="shared" si="1"/>
        <v>20586.66667</v>
      </c>
      <c r="O61" s="460">
        <v>247040.0</v>
      </c>
      <c r="P61" s="60">
        <v>43441.0</v>
      </c>
    </row>
    <row r="62" ht="12.75" customHeight="1">
      <c r="L62" s="60" t="s">
        <v>1928</v>
      </c>
      <c r="M62" s="50" t="s">
        <v>1929</v>
      </c>
      <c r="N62" s="459">
        <f t="shared" si="1"/>
        <v>4800</v>
      </c>
      <c r="O62" s="460">
        <v>57600.0</v>
      </c>
      <c r="P62" s="60">
        <v>43441.0</v>
      </c>
    </row>
    <row r="63" ht="12.75" customHeight="1">
      <c r="L63" s="60" t="s">
        <v>1930</v>
      </c>
      <c r="M63" s="50" t="s">
        <v>1931</v>
      </c>
      <c r="N63" s="459">
        <f t="shared" si="1"/>
        <v>199800</v>
      </c>
      <c r="O63" s="460">
        <v>2397600.0</v>
      </c>
      <c r="P63" s="58" t="s">
        <v>1861</v>
      </c>
    </row>
    <row r="64" ht="12.75" customHeight="1">
      <c r="L64" s="60" t="s">
        <v>1932</v>
      </c>
      <c r="M64" s="50" t="s">
        <v>1933</v>
      </c>
      <c r="N64" s="459">
        <f t="shared" si="1"/>
        <v>38325</v>
      </c>
      <c r="O64" s="460">
        <v>459900.0</v>
      </c>
      <c r="P64" s="60">
        <v>43441.0</v>
      </c>
    </row>
    <row r="65" ht="12.75" customHeight="1">
      <c r="L65" s="60" t="s">
        <v>1934</v>
      </c>
      <c r="M65" s="50" t="s">
        <v>1935</v>
      </c>
      <c r="N65" s="459">
        <f t="shared" si="1"/>
        <v>153668.25</v>
      </c>
      <c r="O65" s="460">
        <v>1844019.0</v>
      </c>
      <c r="P65" s="58" t="s">
        <v>1861</v>
      </c>
    </row>
    <row r="66" ht="12.75" customHeight="1">
      <c r="L66" s="60" t="s">
        <v>1936</v>
      </c>
      <c r="M66" s="50" t="s">
        <v>1937</v>
      </c>
      <c r="N66" s="459">
        <f t="shared" si="1"/>
        <v>110000</v>
      </c>
      <c r="O66" s="460">
        <v>1320000.0</v>
      </c>
      <c r="P66" s="58" t="s">
        <v>1861</v>
      </c>
    </row>
    <row r="67" ht="12.75" customHeight="1">
      <c r="L67" s="60" t="s">
        <v>1938</v>
      </c>
      <c r="M67" s="50" t="s">
        <v>1939</v>
      </c>
      <c r="N67" s="459">
        <f t="shared" si="1"/>
        <v>187500</v>
      </c>
      <c r="O67" s="460">
        <v>2250000.0</v>
      </c>
      <c r="P67" s="58" t="s">
        <v>1861</v>
      </c>
    </row>
    <row r="68" ht="12.75" customHeight="1">
      <c r="L68" s="60" t="s">
        <v>1940</v>
      </c>
      <c r="M68" s="50" t="s">
        <v>1941</v>
      </c>
      <c r="N68" s="459">
        <f t="shared" si="1"/>
        <v>8954.691667</v>
      </c>
      <c r="O68" s="460">
        <v>107456.3</v>
      </c>
      <c r="P68" s="58" t="s">
        <v>1861</v>
      </c>
    </row>
    <row r="69" ht="12.75" customHeight="1">
      <c r="L69" s="60" t="s">
        <v>1942</v>
      </c>
      <c r="M69" s="50" t="s">
        <v>1943</v>
      </c>
      <c r="N69" s="459">
        <f t="shared" si="1"/>
        <v>21047.19167</v>
      </c>
      <c r="O69" s="460">
        <v>252566.3</v>
      </c>
      <c r="P69" s="58" t="s">
        <v>1844</v>
      </c>
    </row>
    <row r="70" ht="12.75" customHeight="1">
      <c r="L70" s="60" t="s">
        <v>1944</v>
      </c>
      <c r="M70" s="50" t="s">
        <v>1945</v>
      </c>
      <c r="N70" s="459">
        <f t="shared" si="1"/>
        <v>83333.33333</v>
      </c>
      <c r="O70" s="460">
        <v>1000000.0</v>
      </c>
      <c r="P70" s="58" t="s">
        <v>1861</v>
      </c>
    </row>
    <row r="71" ht="12.75" customHeight="1">
      <c r="L71" s="60" t="s">
        <v>1946</v>
      </c>
      <c r="M71" s="50" t="s">
        <v>1947</v>
      </c>
      <c r="N71" s="459">
        <f t="shared" si="1"/>
        <v>70000</v>
      </c>
      <c r="O71" s="460">
        <v>840000.0</v>
      </c>
      <c r="P71" s="58" t="s">
        <v>1861</v>
      </c>
    </row>
    <row r="72" ht="12.75" customHeight="1">
      <c r="L72" s="60" t="s">
        <v>1948</v>
      </c>
      <c r="M72" s="50" t="s">
        <v>1949</v>
      </c>
      <c r="N72" s="459">
        <f t="shared" si="1"/>
        <v>6973.333333</v>
      </c>
      <c r="O72" s="460">
        <v>83680.0</v>
      </c>
      <c r="P72" s="58" t="s">
        <v>1861</v>
      </c>
    </row>
    <row r="73" ht="12.75" customHeight="1">
      <c r="L73" s="60" t="s">
        <v>1950</v>
      </c>
      <c r="M73" s="50" t="s">
        <v>1951</v>
      </c>
      <c r="N73" s="459">
        <f t="shared" si="1"/>
        <v>5523.805833</v>
      </c>
      <c r="O73" s="460">
        <v>66285.67</v>
      </c>
      <c r="P73" s="58" t="s">
        <v>1861</v>
      </c>
    </row>
    <row r="74" ht="12.75" customHeight="1">
      <c r="L74" s="60" t="s">
        <v>1952</v>
      </c>
      <c r="M74" s="50" t="s">
        <v>1953</v>
      </c>
      <c r="N74" s="459">
        <f t="shared" si="1"/>
        <v>5523.805833</v>
      </c>
      <c r="O74" s="460">
        <v>66285.67</v>
      </c>
      <c r="P74" s="58" t="s">
        <v>1861</v>
      </c>
    </row>
    <row r="75" ht="12.75" customHeight="1">
      <c r="L75" s="60" t="s">
        <v>1954</v>
      </c>
      <c r="M75" s="50" t="s">
        <v>1955</v>
      </c>
      <c r="N75" s="459">
        <f t="shared" si="1"/>
        <v>111480.625</v>
      </c>
      <c r="O75" s="460">
        <v>1337767.5</v>
      </c>
      <c r="P75" s="58" t="s">
        <v>1861</v>
      </c>
    </row>
    <row r="76" ht="12.75" customHeight="1">
      <c r="L76" s="60" t="s">
        <v>1956</v>
      </c>
      <c r="M76" s="50" t="s">
        <v>1957</v>
      </c>
      <c r="N76" s="459">
        <f t="shared" si="1"/>
        <v>111480.625</v>
      </c>
      <c r="O76" s="460">
        <v>1337767.5</v>
      </c>
      <c r="P76" s="58" t="s">
        <v>1844</v>
      </c>
    </row>
    <row r="77" ht="12.75" customHeight="1">
      <c r="L77" s="60" t="s">
        <v>1958</v>
      </c>
      <c r="M77" s="50" t="s">
        <v>1959</v>
      </c>
      <c r="N77" s="459">
        <f t="shared" si="1"/>
        <v>74111</v>
      </c>
      <c r="O77" s="460">
        <v>889332.0</v>
      </c>
      <c r="P77" s="58" t="s">
        <v>1861</v>
      </c>
    </row>
    <row r="78" ht="12.75" customHeight="1">
      <c r="L78" s="60" t="s">
        <v>1960</v>
      </c>
      <c r="M78" s="50" t="s">
        <v>1961</v>
      </c>
      <c r="N78" s="459">
        <f t="shared" si="1"/>
        <v>11629.38917</v>
      </c>
      <c r="O78" s="460">
        <v>139552.67</v>
      </c>
      <c r="P78" s="58" t="s">
        <v>1861</v>
      </c>
    </row>
    <row r="79" ht="12.75" customHeight="1">
      <c r="L79" s="60" t="s">
        <v>1962</v>
      </c>
      <c r="M79" s="50" t="s">
        <v>1963</v>
      </c>
      <c r="N79" s="459">
        <f t="shared" si="1"/>
        <v>3568.896667</v>
      </c>
      <c r="O79" s="460">
        <v>42826.76</v>
      </c>
      <c r="P79" s="58" t="s">
        <v>1964</v>
      </c>
    </row>
    <row r="80" ht="12.75" customHeight="1">
      <c r="L80" s="60" t="s">
        <v>1965</v>
      </c>
      <c r="M80" s="50" t="s">
        <v>1966</v>
      </c>
      <c r="N80" s="459">
        <f t="shared" si="1"/>
        <v>4256.054167</v>
      </c>
      <c r="O80" s="460">
        <v>51072.65</v>
      </c>
      <c r="P80" s="58" t="s">
        <v>1844</v>
      </c>
    </row>
    <row r="81" ht="12.75" customHeight="1">
      <c r="L81" s="60" t="s">
        <v>1967</v>
      </c>
      <c r="M81" s="50" t="s">
        <v>1968</v>
      </c>
      <c r="N81" s="459">
        <f t="shared" si="1"/>
        <v>147650</v>
      </c>
      <c r="O81" s="460">
        <v>1771800.0</v>
      </c>
      <c r="P81" s="58" t="s">
        <v>1844</v>
      </c>
    </row>
    <row r="82" ht="12.75" customHeight="1">
      <c r="L82" s="60" t="s">
        <v>1969</v>
      </c>
      <c r="M82" s="50" t="s">
        <v>1970</v>
      </c>
      <c r="N82" s="459">
        <f t="shared" si="1"/>
        <v>6215.384167</v>
      </c>
      <c r="O82" s="460">
        <v>74584.61</v>
      </c>
      <c r="P82" s="58" t="s">
        <v>1844</v>
      </c>
    </row>
    <row r="83" ht="12.75" customHeight="1">
      <c r="L83" s="60" t="s">
        <v>1971</v>
      </c>
      <c r="M83" s="50" t="s">
        <v>1972</v>
      </c>
      <c r="N83" s="459">
        <f t="shared" si="1"/>
        <v>10689.825</v>
      </c>
      <c r="O83" s="460">
        <v>128277.9</v>
      </c>
      <c r="P83" s="58" t="s">
        <v>1844</v>
      </c>
    </row>
    <row r="84" ht="12.75" customHeight="1">
      <c r="L84" s="60" t="s">
        <v>1973</v>
      </c>
      <c r="M84" s="50" t="s">
        <v>1974</v>
      </c>
      <c r="N84" s="459">
        <f t="shared" si="1"/>
        <v>10025</v>
      </c>
      <c r="O84" s="460">
        <v>120300.0</v>
      </c>
      <c r="P84" s="58" t="s">
        <v>1861</v>
      </c>
    </row>
    <row r="85" ht="12.75" customHeight="1">
      <c r="L85" s="60" t="s">
        <v>1975</v>
      </c>
      <c r="M85" s="50" t="s">
        <v>1976</v>
      </c>
      <c r="N85" s="459">
        <f t="shared" si="1"/>
        <v>29031.6925</v>
      </c>
      <c r="O85" s="460">
        <v>348380.31</v>
      </c>
      <c r="P85" s="58" t="s">
        <v>1964</v>
      </c>
    </row>
    <row r="86" ht="12.75" customHeight="1">
      <c r="L86" s="60" t="s">
        <v>1464</v>
      </c>
      <c r="M86" s="50" t="s">
        <v>1977</v>
      </c>
      <c r="N86" s="459">
        <f t="shared" si="1"/>
        <v>1072.883333</v>
      </c>
      <c r="O86" s="460">
        <v>12874.6</v>
      </c>
      <c r="P86" s="58" t="s">
        <v>1861</v>
      </c>
    </row>
    <row r="87" ht="12.75" customHeight="1">
      <c r="L87" s="60" t="s">
        <v>1978</v>
      </c>
      <c r="M87" s="50" t="s">
        <v>1979</v>
      </c>
      <c r="N87" s="459">
        <f t="shared" si="1"/>
        <v>17500</v>
      </c>
      <c r="O87" s="460">
        <v>210000.0</v>
      </c>
      <c r="P87" s="58" t="s">
        <v>1844</v>
      </c>
    </row>
    <row r="88" ht="12.75" customHeight="1">
      <c r="L88" s="60" t="s">
        <v>48</v>
      </c>
      <c r="M88" s="50" t="s">
        <v>1980</v>
      </c>
      <c r="N88" s="459">
        <f t="shared" si="1"/>
        <v>10566.66667</v>
      </c>
      <c r="O88" s="460">
        <v>126800.0</v>
      </c>
      <c r="P88" s="58" t="s">
        <v>1844</v>
      </c>
    </row>
    <row r="89" ht="12.75" customHeight="1">
      <c r="L89" s="60" t="s">
        <v>1981</v>
      </c>
      <c r="M89" s="472" t="s">
        <v>1982</v>
      </c>
      <c r="N89" s="459">
        <f t="shared" si="1"/>
        <v>7220.875</v>
      </c>
      <c r="O89" s="460">
        <v>86650.5</v>
      </c>
      <c r="P89" s="58" t="s">
        <v>1983</v>
      </c>
    </row>
    <row r="90" ht="12.75" customHeight="1">
      <c r="L90" s="124" t="s">
        <v>1984</v>
      </c>
      <c r="M90" s="473" t="s">
        <v>1985</v>
      </c>
      <c r="N90" s="459">
        <f t="shared" si="1"/>
        <v>4713.3675</v>
      </c>
      <c r="O90" s="460">
        <v>56560.41</v>
      </c>
      <c r="P90" s="58" t="s">
        <v>1964</v>
      </c>
    </row>
    <row r="91" ht="12.75" customHeight="1">
      <c r="L91" s="60" t="s">
        <v>1986</v>
      </c>
      <c r="M91" s="50" t="s">
        <v>1987</v>
      </c>
      <c r="N91" s="459">
        <f t="shared" si="1"/>
        <v>446</v>
      </c>
      <c r="O91" s="460">
        <v>5352.0</v>
      </c>
      <c r="P91" s="58" t="s">
        <v>1844</v>
      </c>
    </row>
    <row r="92" ht="12.75" customHeight="1">
      <c r="L92" s="60" t="s">
        <v>1988</v>
      </c>
      <c r="M92" s="50" t="s">
        <v>1989</v>
      </c>
      <c r="N92" s="459">
        <f t="shared" si="1"/>
        <v>3197.25</v>
      </c>
      <c r="O92" s="460">
        <v>38367.0</v>
      </c>
      <c r="P92" s="58" t="s">
        <v>1861</v>
      </c>
    </row>
    <row r="93" ht="12.75" customHeight="1">
      <c r="L93" s="60" t="s">
        <v>1990</v>
      </c>
      <c r="M93" s="50" t="s">
        <v>1991</v>
      </c>
      <c r="N93" s="459">
        <f t="shared" si="1"/>
        <v>3197.25</v>
      </c>
      <c r="O93" s="460">
        <v>38367.0</v>
      </c>
      <c r="P93" s="58" t="s">
        <v>1861</v>
      </c>
    </row>
    <row r="94" ht="12.75" customHeight="1">
      <c r="L94" s="60" t="s">
        <v>1992</v>
      </c>
      <c r="M94" s="50" t="s">
        <v>1993</v>
      </c>
      <c r="N94" s="459">
        <f t="shared" si="1"/>
        <v>3801.5125</v>
      </c>
      <c r="O94" s="460">
        <v>45618.15</v>
      </c>
      <c r="P94" s="58" t="s">
        <v>1844</v>
      </c>
    </row>
    <row r="95" ht="12.75" customHeight="1">
      <c r="L95" s="60"/>
      <c r="M95" s="50"/>
      <c r="N95" s="459"/>
      <c r="O95" s="460"/>
      <c r="P95" s="58"/>
    </row>
    <row r="96" ht="12.75" customHeight="1">
      <c r="O96" s="127"/>
      <c r="P96" s="5"/>
    </row>
    <row r="97" ht="12.75" customHeight="1">
      <c r="O97" s="127"/>
      <c r="P97" s="5"/>
    </row>
    <row r="98" ht="12.75" customHeight="1">
      <c r="O98" s="127"/>
      <c r="P98" s="5"/>
    </row>
    <row r="99" ht="12.75" customHeight="1">
      <c r="O99" s="127"/>
      <c r="P99" s="5"/>
    </row>
    <row r="100" ht="12.75" customHeight="1">
      <c r="O100" s="127"/>
      <c r="P100" s="5"/>
    </row>
    <row r="101" ht="12.75" customHeight="1">
      <c r="O101" s="127"/>
      <c r="P101" s="5"/>
    </row>
    <row r="102">
      <c r="N102" s="470">
        <f t="shared" ref="N102:O102" si="2">SUM(N3:N101)</f>
        <v>3022919.486</v>
      </c>
      <c r="O102" s="470">
        <f t="shared" si="2"/>
        <v>36058368.8</v>
      </c>
      <c r="P102" s="5"/>
    </row>
    <row r="103" ht="12.75" customHeight="1">
      <c r="O103" s="127"/>
      <c r="P103" s="5"/>
    </row>
    <row r="104" ht="12.75" customHeight="1">
      <c r="O104" s="127"/>
      <c r="P104" s="5"/>
    </row>
    <row r="105" ht="12.75" customHeight="1">
      <c r="O105" s="127"/>
      <c r="P105" s="5"/>
    </row>
    <row r="106" ht="12.75" customHeight="1">
      <c r="O106" s="127"/>
      <c r="P106" s="5"/>
    </row>
    <row r="107" ht="12.75" customHeight="1">
      <c r="O107" s="127"/>
      <c r="P107" s="5"/>
    </row>
    <row r="108" ht="12.75" customHeight="1">
      <c r="O108" s="127"/>
      <c r="P108" s="5"/>
    </row>
    <row r="109" ht="12.75" customHeight="1">
      <c r="O109" s="127"/>
      <c r="P109" s="5"/>
    </row>
    <row r="110" ht="12.75" customHeight="1">
      <c r="O110" s="127"/>
      <c r="P110" s="5"/>
    </row>
    <row r="111" ht="12.75" customHeight="1">
      <c r="O111" s="127"/>
      <c r="P111" s="5"/>
    </row>
    <row r="112" ht="12.75" customHeight="1">
      <c r="O112" s="127"/>
      <c r="P112" s="5"/>
    </row>
    <row r="113" ht="12.75" customHeight="1">
      <c r="O113" s="127"/>
      <c r="P113" s="5"/>
    </row>
    <row r="114" ht="12.75" customHeight="1">
      <c r="O114" s="127"/>
      <c r="P114" s="5"/>
    </row>
    <row r="115" ht="12.75" customHeight="1">
      <c r="O115" s="127"/>
      <c r="P115" s="5"/>
    </row>
    <row r="116" ht="12.75" customHeight="1">
      <c r="O116" s="127"/>
      <c r="P116" s="5"/>
    </row>
    <row r="117" ht="12.75" customHeight="1">
      <c r="O117" s="127"/>
      <c r="P117" s="5"/>
    </row>
    <row r="118" ht="12.75" customHeight="1">
      <c r="O118" s="127"/>
      <c r="P118" s="5"/>
    </row>
    <row r="119" ht="12.75" customHeight="1">
      <c r="O119" s="127"/>
      <c r="P119" s="5"/>
    </row>
    <row r="120" ht="12.75" customHeight="1">
      <c r="O120" s="127"/>
      <c r="P120" s="5"/>
    </row>
    <row r="121" ht="12.75" customHeight="1">
      <c r="O121" s="127"/>
      <c r="P121" s="5"/>
    </row>
    <row r="122" ht="12.75" customHeight="1">
      <c r="O122" s="127"/>
      <c r="P122" s="5"/>
    </row>
    <row r="123" ht="12.75" customHeight="1">
      <c r="O123" s="127"/>
      <c r="P123" s="5"/>
    </row>
    <row r="124" ht="12.75" customHeight="1">
      <c r="O124" s="127"/>
      <c r="P124" s="5"/>
    </row>
    <row r="125" ht="12.75" customHeight="1">
      <c r="O125" s="127"/>
      <c r="P125" s="5"/>
    </row>
    <row r="126" ht="12.75" customHeight="1">
      <c r="O126" s="127"/>
      <c r="P126" s="5"/>
    </row>
    <row r="127" ht="12.75" customHeight="1">
      <c r="O127" s="127"/>
      <c r="P127" s="5"/>
    </row>
    <row r="128" ht="12.75" customHeight="1">
      <c r="O128" s="127"/>
      <c r="P128" s="5"/>
    </row>
    <row r="129" ht="12.75" customHeight="1">
      <c r="O129" s="127"/>
      <c r="P129" s="5"/>
    </row>
    <row r="130" ht="12.75" customHeight="1">
      <c r="O130" s="127"/>
      <c r="P130" s="5"/>
    </row>
    <row r="131" ht="12.75" customHeight="1">
      <c r="O131" s="127"/>
      <c r="P131" s="5"/>
    </row>
    <row r="132" ht="12.75" customHeight="1">
      <c r="O132" s="127"/>
      <c r="P132" s="5"/>
    </row>
    <row r="133" ht="12.75" customHeight="1">
      <c r="O133" s="127"/>
      <c r="P133" s="5"/>
    </row>
    <row r="134" ht="12.75" customHeight="1">
      <c r="O134" s="127"/>
      <c r="P134" s="5"/>
    </row>
    <row r="135" ht="12.75" customHeight="1">
      <c r="O135" s="127"/>
      <c r="P135" s="5"/>
    </row>
    <row r="136" ht="12.75" customHeight="1">
      <c r="O136" s="127"/>
      <c r="P136" s="5"/>
    </row>
    <row r="137" ht="12.75" customHeight="1">
      <c r="O137" s="127"/>
      <c r="P137" s="5"/>
    </row>
    <row r="138" ht="12.75" customHeight="1">
      <c r="O138" s="127"/>
      <c r="P138" s="5"/>
    </row>
    <row r="139" ht="12.75" customHeight="1">
      <c r="O139" s="127"/>
      <c r="P139" s="5"/>
    </row>
    <row r="140" ht="12.75" customHeight="1">
      <c r="O140" s="127"/>
      <c r="P140" s="5"/>
    </row>
    <row r="141" ht="12.75" customHeight="1">
      <c r="O141" s="127"/>
      <c r="P141" s="5"/>
    </row>
    <row r="142" ht="12.75" customHeight="1">
      <c r="O142" s="127"/>
      <c r="P142" s="5"/>
    </row>
    <row r="143" ht="12.75" customHeight="1">
      <c r="O143" s="127"/>
      <c r="P143" s="5"/>
    </row>
    <row r="144" ht="12.75" customHeight="1">
      <c r="O144" s="127"/>
      <c r="P144" s="5"/>
    </row>
    <row r="145" ht="12.75" customHeight="1">
      <c r="O145" s="127"/>
      <c r="P145" s="5"/>
    </row>
    <row r="146" ht="12.75" customHeight="1">
      <c r="O146" s="127"/>
      <c r="P146" s="5"/>
    </row>
    <row r="147" ht="12.75" customHeight="1">
      <c r="O147" s="127"/>
      <c r="P147" s="5"/>
    </row>
    <row r="148" ht="12.75" customHeight="1">
      <c r="O148" s="127"/>
      <c r="P148" s="5"/>
    </row>
    <row r="149" ht="12.75" customHeight="1">
      <c r="O149" s="127"/>
      <c r="P149" s="5"/>
    </row>
    <row r="150" ht="12.75" customHeight="1">
      <c r="O150" s="127"/>
      <c r="P150" s="5"/>
    </row>
    <row r="151" ht="12.75" customHeight="1">
      <c r="O151" s="127"/>
      <c r="P151" s="5"/>
    </row>
    <row r="152" ht="12.75" customHeight="1">
      <c r="O152" s="127"/>
      <c r="P152" s="5"/>
    </row>
    <row r="153" ht="12.75" customHeight="1">
      <c r="O153" s="127"/>
      <c r="P153" s="5"/>
    </row>
    <row r="154" ht="12.75" customHeight="1">
      <c r="O154" s="127"/>
      <c r="P154" s="5"/>
    </row>
    <row r="155" ht="12.75" customHeight="1">
      <c r="O155" s="127"/>
      <c r="P155" s="5"/>
    </row>
    <row r="156" ht="12.75" customHeight="1">
      <c r="O156" s="127"/>
      <c r="P156" s="5"/>
    </row>
    <row r="157" ht="12.75" customHeight="1">
      <c r="O157" s="127"/>
      <c r="P157" s="5"/>
    </row>
    <row r="158" ht="12.75" customHeight="1">
      <c r="O158" s="127"/>
      <c r="P158" s="5"/>
    </row>
    <row r="159" ht="12.75" customHeight="1">
      <c r="O159" s="127"/>
      <c r="P159" s="5"/>
    </row>
    <row r="160" ht="12.75" customHeight="1">
      <c r="O160" s="127"/>
      <c r="P160" s="5"/>
    </row>
    <row r="161" ht="12.75" customHeight="1">
      <c r="O161" s="127"/>
      <c r="P161" s="5"/>
    </row>
    <row r="162" ht="12.75" customHeight="1">
      <c r="O162" s="127"/>
      <c r="P162" s="5"/>
    </row>
    <row r="163" ht="12.75" customHeight="1">
      <c r="O163" s="127"/>
      <c r="P163" s="5"/>
    </row>
    <row r="164" ht="12.75" customHeight="1">
      <c r="O164" s="127"/>
      <c r="P164" s="5"/>
    </row>
    <row r="165" ht="12.75" customHeight="1">
      <c r="O165" s="127"/>
      <c r="P165" s="5"/>
    </row>
    <row r="166" ht="12.75" customHeight="1">
      <c r="O166" s="127"/>
      <c r="P166" s="5"/>
    </row>
    <row r="167" ht="12.75" customHeight="1">
      <c r="O167" s="127"/>
      <c r="P167" s="5"/>
    </row>
    <row r="168" ht="12.75" customHeight="1">
      <c r="O168" s="127"/>
      <c r="P168" s="5"/>
    </row>
    <row r="169" ht="12.75" customHeight="1">
      <c r="O169" s="127"/>
      <c r="P169" s="5"/>
    </row>
    <row r="170" ht="12.75" customHeight="1">
      <c r="O170" s="127"/>
      <c r="P170" s="5"/>
    </row>
    <row r="171" ht="12.75" customHeight="1">
      <c r="O171" s="127"/>
      <c r="P171" s="5"/>
    </row>
    <row r="172" ht="12.75" customHeight="1">
      <c r="O172" s="127"/>
      <c r="P172" s="5"/>
    </row>
    <row r="173" ht="12.75" customHeight="1">
      <c r="O173" s="127"/>
      <c r="P173" s="5"/>
    </row>
    <row r="174" ht="12.75" customHeight="1">
      <c r="O174" s="127"/>
      <c r="P174" s="5"/>
    </row>
    <row r="175" ht="12.75" customHeight="1">
      <c r="O175" s="127"/>
      <c r="P175" s="5"/>
    </row>
    <row r="176" ht="12.75" customHeight="1">
      <c r="O176" s="127"/>
      <c r="P176" s="5"/>
    </row>
    <row r="177" ht="12.75" customHeight="1">
      <c r="O177" s="127"/>
      <c r="P177" s="5"/>
    </row>
    <row r="178" ht="12.75" customHeight="1">
      <c r="O178" s="127"/>
      <c r="P178" s="5"/>
    </row>
    <row r="179" ht="12.75" customHeight="1">
      <c r="O179" s="127"/>
      <c r="P179" s="5"/>
    </row>
    <row r="180" ht="12.75" customHeight="1">
      <c r="O180" s="127"/>
      <c r="P180" s="5"/>
    </row>
    <row r="181" ht="12.75" customHeight="1">
      <c r="O181" s="127"/>
      <c r="P181" s="5"/>
    </row>
    <row r="182" ht="12.75" customHeight="1">
      <c r="O182" s="127"/>
      <c r="P182" s="5"/>
    </row>
    <row r="183" ht="12.75" customHeight="1">
      <c r="O183" s="127"/>
      <c r="P183" s="5"/>
    </row>
    <row r="184" ht="12.75" customHeight="1">
      <c r="O184" s="127"/>
      <c r="P184" s="5"/>
    </row>
    <row r="185" ht="12.75" customHeight="1">
      <c r="O185" s="127"/>
      <c r="P185" s="5"/>
    </row>
    <row r="186" ht="12.75" customHeight="1">
      <c r="O186" s="127"/>
      <c r="P186" s="5"/>
    </row>
    <row r="187" ht="12.75" customHeight="1">
      <c r="O187" s="127"/>
      <c r="P187" s="5"/>
    </row>
    <row r="188" ht="12.75" customHeight="1">
      <c r="O188" s="127"/>
      <c r="P188" s="5"/>
    </row>
    <row r="189" ht="12.75" customHeight="1">
      <c r="O189" s="127"/>
      <c r="P189" s="5"/>
    </row>
    <row r="190" ht="12.75" customHeight="1">
      <c r="O190" s="127"/>
      <c r="P190" s="5"/>
    </row>
    <row r="191" ht="12.75" customHeight="1">
      <c r="O191" s="127"/>
      <c r="P191" s="5"/>
    </row>
    <row r="192" ht="12.75" customHeight="1">
      <c r="O192" s="127"/>
      <c r="P192" s="5"/>
    </row>
    <row r="193" ht="12.75" customHeight="1">
      <c r="O193" s="127"/>
      <c r="P193" s="5"/>
    </row>
    <row r="194" ht="12.75" customHeight="1">
      <c r="O194" s="127"/>
      <c r="P194" s="5"/>
    </row>
    <row r="195" ht="12.75" customHeight="1">
      <c r="O195" s="127"/>
      <c r="P195" s="5"/>
    </row>
    <row r="196" ht="12.75" customHeight="1">
      <c r="O196" s="127"/>
      <c r="P196" s="5"/>
    </row>
    <row r="197" ht="12.75" customHeight="1">
      <c r="O197" s="127"/>
      <c r="P197" s="5"/>
    </row>
    <row r="198" ht="12.75" customHeight="1">
      <c r="O198" s="127"/>
      <c r="P198" s="5"/>
    </row>
    <row r="199" ht="12.75" customHeight="1">
      <c r="O199" s="127"/>
      <c r="P199" s="5"/>
    </row>
    <row r="200" ht="12.75" customHeight="1">
      <c r="O200" s="127"/>
      <c r="P200" s="5"/>
    </row>
    <row r="201" ht="12.75" customHeight="1">
      <c r="O201" s="127"/>
      <c r="P201" s="5"/>
    </row>
    <row r="202" ht="12.75" customHeight="1">
      <c r="O202" s="127"/>
      <c r="P202" s="5"/>
    </row>
    <row r="203" ht="12.75" customHeight="1">
      <c r="O203" s="127"/>
      <c r="P203" s="5"/>
    </row>
    <row r="204" ht="12.75" customHeight="1">
      <c r="O204" s="127"/>
      <c r="P204" s="5"/>
    </row>
    <row r="205" ht="12.75" customHeight="1">
      <c r="O205" s="127"/>
      <c r="P205" s="5"/>
    </row>
    <row r="206" ht="12.75" customHeight="1">
      <c r="O206" s="127"/>
      <c r="P206" s="5"/>
    </row>
    <row r="207" ht="12.75" customHeight="1">
      <c r="O207" s="127"/>
      <c r="P207" s="5"/>
    </row>
    <row r="208" ht="12.75" customHeight="1">
      <c r="O208" s="127"/>
      <c r="P208" s="5"/>
    </row>
    <row r="209" ht="12.75" customHeight="1">
      <c r="O209" s="127"/>
      <c r="P209" s="5"/>
    </row>
    <row r="210" ht="12.75" customHeight="1">
      <c r="O210" s="127"/>
      <c r="P210" s="5"/>
    </row>
    <row r="211" ht="12.75" customHeight="1">
      <c r="O211" s="127"/>
      <c r="P211" s="5"/>
    </row>
    <row r="212" ht="12.75" customHeight="1">
      <c r="O212" s="127"/>
      <c r="P212" s="5"/>
    </row>
    <row r="213" ht="12.75" customHeight="1">
      <c r="O213" s="127"/>
      <c r="P213" s="5"/>
    </row>
    <row r="214" ht="12.75" customHeight="1">
      <c r="O214" s="127"/>
      <c r="P214" s="5"/>
    </row>
    <row r="215" ht="12.75" customHeight="1">
      <c r="O215" s="127"/>
      <c r="P215" s="5"/>
    </row>
    <row r="216" ht="12.75" customHeight="1">
      <c r="O216" s="127"/>
      <c r="P216" s="5"/>
    </row>
    <row r="217" ht="12.75" customHeight="1">
      <c r="O217" s="127"/>
      <c r="P217" s="5"/>
    </row>
    <row r="218" ht="12.75" customHeight="1">
      <c r="O218" s="127"/>
      <c r="P218" s="5"/>
    </row>
    <row r="219" ht="12.75" customHeight="1">
      <c r="O219" s="127"/>
      <c r="P219" s="5"/>
    </row>
    <row r="220" ht="12.75" customHeight="1">
      <c r="O220" s="127"/>
      <c r="P220" s="5"/>
    </row>
    <row r="221" ht="12.75" customHeight="1">
      <c r="O221" s="127"/>
      <c r="P221" s="5"/>
    </row>
    <row r="222" ht="12.75" customHeight="1">
      <c r="O222" s="127"/>
      <c r="P222" s="5"/>
    </row>
    <row r="223" ht="12.75" customHeight="1">
      <c r="O223" s="127"/>
      <c r="P223" s="5"/>
    </row>
    <row r="224" ht="12.75" customHeight="1">
      <c r="O224" s="127"/>
      <c r="P224" s="5"/>
    </row>
    <row r="225" ht="12.75" customHeight="1">
      <c r="O225" s="127"/>
      <c r="P225" s="5"/>
    </row>
    <row r="226" ht="12.75" customHeight="1">
      <c r="O226" s="127"/>
      <c r="P226" s="5"/>
    </row>
    <row r="227" ht="12.75" customHeight="1">
      <c r="O227" s="127"/>
      <c r="P227" s="5"/>
    </row>
    <row r="228" ht="12.75" customHeight="1">
      <c r="O228" s="127"/>
      <c r="P228" s="5"/>
    </row>
    <row r="229" ht="12.75" customHeight="1">
      <c r="O229" s="127"/>
      <c r="P229" s="5"/>
    </row>
    <row r="230" ht="12.75" customHeight="1">
      <c r="O230" s="127"/>
      <c r="P230" s="5"/>
    </row>
    <row r="231" ht="12.75" customHeight="1">
      <c r="O231" s="127"/>
      <c r="P231" s="5"/>
    </row>
    <row r="232" ht="12.75" customHeight="1">
      <c r="O232" s="127"/>
      <c r="P232" s="5"/>
    </row>
    <row r="233" ht="12.75" customHeight="1">
      <c r="O233" s="127"/>
      <c r="P233" s="5"/>
    </row>
    <row r="234" ht="12.75" customHeight="1">
      <c r="O234" s="127"/>
      <c r="P234" s="5"/>
    </row>
    <row r="235" ht="12.75" customHeight="1">
      <c r="O235" s="127"/>
      <c r="P235" s="5"/>
    </row>
    <row r="236" ht="12.75" customHeight="1">
      <c r="O236" s="127"/>
      <c r="P236" s="5"/>
    </row>
    <row r="237" ht="12.75" customHeight="1">
      <c r="O237" s="127"/>
      <c r="P237" s="5"/>
    </row>
    <row r="238" ht="12.75" customHeight="1">
      <c r="O238" s="127"/>
      <c r="P238" s="5"/>
    </row>
    <row r="239" ht="12.75" customHeight="1">
      <c r="O239" s="127"/>
      <c r="P239" s="5"/>
    </row>
    <row r="240" ht="12.75" customHeight="1">
      <c r="O240" s="127"/>
      <c r="P240" s="5"/>
    </row>
    <row r="241" ht="12.75" customHeight="1">
      <c r="O241" s="127"/>
      <c r="P241" s="5"/>
    </row>
    <row r="242" ht="12.75" customHeight="1">
      <c r="O242" s="127"/>
      <c r="P242" s="5"/>
    </row>
    <row r="243" ht="12.75" customHeight="1">
      <c r="O243" s="127"/>
      <c r="P243" s="5"/>
    </row>
    <row r="244" ht="12.75" customHeight="1">
      <c r="O244" s="127"/>
      <c r="P244" s="5"/>
    </row>
    <row r="245" ht="12.75" customHeight="1">
      <c r="O245" s="127"/>
      <c r="P245" s="5"/>
    </row>
    <row r="246" ht="12.75" customHeight="1">
      <c r="O246" s="127"/>
      <c r="P246" s="5"/>
    </row>
    <row r="247" ht="12.75" customHeight="1">
      <c r="O247" s="127"/>
      <c r="P247" s="5"/>
    </row>
    <row r="248" ht="12.75" customHeight="1">
      <c r="O248" s="127"/>
      <c r="P248" s="5"/>
    </row>
    <row r="249" ht="12.75" customHeight="1">
      <c r="O249" s="127"/>
      <c r="P249" s="5"/>
    </row>
    <row r="250" ht="12.75" customHeight="1">
      <c r="O250" s="127"/>
      <c r="P250" s="5"/>
    </row>
    <row r="251" ht="12.75" customHeight="1">
      <c r="O251" s="127"/>
      <c r="P251" s="5"/>
    </row>
    <row r="252" ht="12.75" customHeight="1">
      <c r="O252" s="127"/>
      <c r="P252" s="5"/>
    </row>
    <row r="253" ht="12.75" customHeight="1">
      <c r="O253" s="127"/>
      <c r="P253" s="5"/>
    </row>
    <row r="254" ht="12.75" customHeight="1">
      <c r="O254" s="127"/>
      <c r="P254" s="5"/>
    </row>
    <row r="255" ht="12.75" customHeight="1">
      <c r="O255" s="127"/>
      <c r="P255" s="5"/>
    </row>
    <row r="256" ht="12.75" customHeight="1">
      <c r="O256" s="127"/>
      <c r="P256" s="5"/>
    </row>
    <row r="257" ht="12.75" customHeight="1">
      <c r="O257" s="127"/>
      <c r="P257" s="5"/>
    </row>
    <row r="258" ht="12.75" customHeight="1">
      <c r="O258" s="127"/>
      <c r="P258" s="5"/>
    </row>
    <row r="259" ht="12.75" customHeight="1">
      <c r="O259" s="127"/>
      <c r="P259" s="5"/>
    </row>
    <row r="260" ht="12.75" customHeight="1">
      <c r="O260" s="127"/>
      <c r="P260" s="5"/>
    </row>
    <row r="261" ht="12.75" customHeight="1">
      <c r="O261" s="127"/>
      <c r="P261" s="5"/>
    </row>
    <row r="262" ht="12.75" customHeight="1">
      <c r="O262" s="127"/>
      <c r="P262" s="5"/>
    </row>
    <row r="263" ht="12.75" customHeight="1">
      <c r="O263" s="127"/>
      <c r="P263" s="5"/>
    </row>
    <row r="264" ht="12.75" customHeight="1">
      <c r="O264" s="127"/>
      <c r="P264" s="5"/>
    </row>
    <row r="265" ht="12.75" customHeight="1">
      <c r="O265" s="127"/>
      <c r="P265" s="5"/>
    </row>
    <row r="266" ht="12.75" customHeight="1">
      <c r="O266" s="127"/>
      <c r="P266" s="5"/>
    </row>
    <row r="267" ht="12.75" customHeight="1">
      <c r="O267" s="127"/>
      <c r="P267" s="5"/>
    </row>
    <row r="268" ht="12.75" customHeight="1">
      <c r="O268" s="127"/>
      <c r="P268" s="5"/>
    </row>
    <row r="269" ht="12.75" customHeight="1">
      <c r="O269" s="127"/>
      <c r="P269" s="5"/>
    </row>
    <row r="270" ht="12.75" customHeight="1">
      <c r="O270" s="127"/>
      <c r="P270" s="5"/>
    </row>
    <row r="271" ht="12.75" customHeight="1">
      <c r="O271" s="127"/>
      <c r="P271" s="5"/>
    </row>
    <row r="272" ht="12.75" customHeight="1">
      <c r="O272" s="127"/>
      <c r="P272" s="5"/>
    </row>
    <row r="273" ht="12.75" customHeight="1">
      <c r="O273" s="127"/>
      <c r="P273" s="5"/>
    </row>
    <row r="274" ht="12.75" customHeight="1">
      <c r="O274" s="127"/>
      <c r="P274" s="5"/>
    </row>
    <row r="275" ht="12.75" customHeight="1">
      <c r="O275" s="127"/>
      <c r="P275" s="5"/>
    </row>
    <row r="276" ht="12.75" customHeight="1">
      <c r="O276" s="127"/>
      <c r="P276" s="5"/>
    </row>
    <row r="277" ht="12.75" customHeight="1">
      <c r="O277" s="127"/>
      <c r="P277" s="5"/>
    </row>
    <row r="278" ht="12.75" customHeight="1">
      <c r="O278" s="127"/>
      <c r="P278" s="5"/>
    </row>
    <row r="279" ht="12.75" customHeight="1">
      <c r="O279" s="127"/>
      <c r="P279" s="5"/>
    </row>
    <row r="280" ht="12.75" customHeight="1">
      <c r="O280" s="127"/>
      <c r="P280" s="5"/>
    </row>
    <row r="281" ht="12.75" customHeight="1">
      <c r="O281" s="127"/>
      <c r="P281" s="5"/>
    </row>
    <row r="282" ht="12.75" customHeight="1">
      <c r="O282" s="127"/>
      <c r="P282" s="5"/>
    </row>
    <row r="283" ht="12.75" customHeight="1">
      <c r="O283" s="127"/>
      <c r="P283" s="5"/>
    </row>
    <row r="284" ht="12.75" customHeight="1">
      <c r="O284" s="127"/>
      <c r="P284" s="5"/>
    </row>
    <row r="285" ht="12.75" customHeight="1">
      <c r="O285" s="127"/>
      <c r="P285" s="5"/>
    </row>
    <row r="286" ht="12.75" customHeight="1">
      <c r="O286" s="127"/>
      <c r="P286" s="5"/>
    </row>
    <row r="287" ht="12.75" customHeight="1">
      <c r="O287" s="127"/>
      <c r="P287" s="5"/>
    </row>
    <row r="288" ht="12.75" customHeight="1">
      <c r="O288" s="127"/>
      <c r="P288" s="5"/>
    </row>
    <row r="289" ht="12.75" customHeight="1">
      <c r="O289" s="127"/>
      <c r="P289" s="5"/>
    </row>
    <row r="290" ht="12.75" customHeight="1">
      <c r="O290" s="127"/>
      <c r="P290" s="5"/>
    </row>
    <row r="291" ht="12.75" customHeight="1">
      <c r="O291" s="127"/>
      <c r="P291" s="5"/>
    </row>
    <row r="292" ht="12.75" customHeight="1">
      <c r="O292" s="127"/>
      <c r="P292" s="5"/>
    </row>
    <row r="293" ht="12.75" customHeight="1">
      <c r="O293" s="127"/>
      <c r="P293" s="5"/>
    </row>
    <row r="294" ht="12.75" customHeight="1">
      <c r="O294" s="127"/>
      <c r="P294" s="5"/>
    </row>
    <row r="295" ht="12.75" customHeight="1">
      <c r="O295" s="127"/>
      <c r="P295" s="5"/>
    </row>
    <row r="296" ht="12.75" customHeight="1">
      <c r="O296" s="127"/>
      <c r="P296" s="5"/>
    </row>
    <row r="297" ht="12.75" customHeight="1">
      <c r="O297" s="127"/>
      <c r="P297" s="5"/>
    </row>
    <row r="298" ht="12.75" customHeight="1">
      <c r="O298" s="127"/>
      <c r="P298" s="5"/>
    </row>
    <row r="299" ht="12.75" customHeight="1">
      <c r="O299" s="127"/>
      <c r="P299" s="5"/>
    </row>
    <row r="300" ht="12.75" customHeight="1">
      <c r="O300" s="127"/>
      <c r="P300" s="5"/>
    </row>
    <row r="301" ht="12.75" customHeight="1">
      <c r="O301" s="127"/>
      <c r="P301" s="5"/>
    </row>
    <row r="302" ht="12.75" customHeight="1">
      <c r="O302" s="127"/>
      <c r="P302" s="5"/>
    </row>
    <row r="303" ht="12.75" customHeight="1">
      <c r="O303" s="127"/>
      <c r="P303" s="5"/>
    </row>
    <row r="304" ht="12.75" customHeight="1">
      <c r="O304" s="127"/>
      <c r="P304" s="5"/>
    </row>
    <row r="305" ht="12.75" customHeight="1">
      <c r="O305" s="127"/>
      <c r="P305" s="5"/>
    </row>
    <row r="306" ht="12.75" customHeight="1">
      <c r="O306" s="127"/>
      <c r="P306" s="5"/>
    </row>
    <row r="307" ht="12.75" customHeight="1">
      <c r="O307" s="127"/>
      <c r="P307" s="5"/>
    </row>
    <row r="308" ht="12.75" customHeight="1">
      <c r="O308" s="127"/>
      <c r="P308" s="5"/>
    </row>
    <row r="309" ht="12.75" customHeight="1">
      <c r="O309" s="127"/>
      <c r="P309" s="5"/>
    </row>
    <row r="310" ht="12.75" customHeight="1">
      <c r="O310" s="127"/>
      <c r="P310" s="5"/>
    </row>
    <row r="311" ht="12.75" customHeight="1">
      <c r="O311" s="127"/>
      <c r="P311" s="5"/>
    </row>
    <row r="312" ht="12.75" customHeight="1">
      <c r="O312" s="127"/>
      <c r="P312" s="5"/>
    </row>
    <row r="313" ht="12.75" customHeight="1">
      <c r="O313" s="127"/>
      <c r="P313" s="5"/>
    </row>
    <row r="314" ht="12.75" customHeight="1">
      <c r="O314" s="127"/>
      <c r="P314" s="5"/>
    </row>
    <row r="315" ht="12.75" customHeight="1">
      <c r="O315" s="127"/>
      <c r="P315" s="5"/>
    </row>
    <row r="316" ht="12.75" customHeight="1">
      <c r="O316" s="127"/>
      <c r="P316" s="5"/>
    </row>
    <row r="317" ht="12.75" customHeight="1">
      <c r="O317" s="127"/>
      <c r="P317" s="5"/>
    </row>
    <row r="318" ht="12.75" customHeight="1">
      <c r="O318" s="127"/>
      <c r="P318" s="5"/>
    </row>
    <row r="319" ht="12.75" customHeight="1">
      <c r="O319" s="127"/>
      <c r="P319" s="5"/>
    </row>
    <row r="320" ht="12.75" customHeight="1">
      <c r="O320" s="127"/>
      <c r="P320" s="5"/>
    </row>
    <row r="321" ht="12.75" customHeight="1">
      <c r="O321" s="127"/>
      <c r="P321" s="5"/>
    </row>
    <row r="322" ht="12.75" customHeight="1">
      <c r="O322" s="127"/>
      <c r="P322" s="5"/>
    </row>
    <row r="323" ht="12.75" customHeight="1">
      <c r="O323" s="127"/>
      <c r="P323" s="5"/>
    </row>
    <row r="324" ht="12.75" customHeight="1">
      <c r="O324" s="127"/>
      <c r="P324" s="5"/>
    </row>
    <row r="325" ht="12.75" customHeight="1">
      <c r="O325" s="127"/>
      <c r="P325" s="5"/>
    </row>
    <row r="326" ht="12.75" customHeight="1">
      <c r="O326" s="127"/>
      <c r="P326" s="5"/>
    </row>
    <row r="327" ht="12.75" customHeight="1">
      <c r="O327" s="127"/>
      <c r="P327" s="5"/>
    </row>
    <row r="328" ht="12.75" customHeight="1">
      <c r="O328" s="127"/>
      <c r="P328" s="5"/>
    </row>
    <row r="329" ht="12.75" customHeight="1">
      <c r="O329" s="127"/>
      <c r="P329" s="5"/>
    </row>
    <row r="330" ht="12.75" customHeight="1">
      <c r="O330" s="127"/>
      <c r="P330" s="5"/>
    </row>
    <row r="331" ht="12.75" customHeight="1">
      <c r="O331" s="127"/>
      <c r="P331" s="5"/>
    </row>
    <row r="332" ht="12.75" customHeight="1">
      <c r="O332" s="127"/>
      <c r="P332" s="5"/>
    </row>
    <row r="333" ht="12.75" customHeight="1">
      <c r="O333" s="127"/>
      <c r="P333" s="5"/>
    </row>
    <row r="334" ht="12.75" customHeight="1">
      <c r="O334" s="127"/>
      <c r="P334" s="5"/>
    </row>
    <row r="335" ht="12.75" customHeight="1">
      <c r="O335" s="127"/>
      <c r="P335" s="5"/>
    </row>
    <row r="336" ht="12.75" customHeight="1">
      <c r="O336" s="127"/>
      <c r="P336" s="5"/>
    </row>
    <row r="337" ht="12.75" customHeight="1">
      <c r="O337" s="127"/>
      <c r="P337" s="5"/>
    </row>
    <row r="338" ht="12.75" customHeight="1">
      <c r="O338" s="127"/>
      <c r="P338" s="5"/>
    </row>
    <row r="339" ht="12.75" customHeight="1">
      <c r="O339" s="127"/>
      <c r="P339" s="5"/>
    </row>
    <row r="340" ht="12.75" customHeight="1">
      <c r="O340" s="127"/>
      <c r="P340" s="5"/>
    </row>
    <row r="341" ht="12.75" customHeight="1">
      <c r="O341" s="127"/>
      <c r="P341" s="5"/>
    </row>
    <row r="342" ht="12.75" customHeight="1">
      <c r="O342" s="127"/>
      <c r="P342" s="5"/>
    </row>
    <row r="343" ht="12.75" customHeight="1">
      <c r="O343" s="127"/>
      <c r="P343" s="5"/>
    </row>
    <row r="344" ht="12.75" customHeight="1">
      <c r="O344" s="127"/>
      <c r="P344" s="5"/>
    </row>
    <row r="345" ht="12.75" customHeight="1">
      <c r="O345" s="127"/>
      <c r="P345" s="5"/>
    </row>
    <row r="346" ht="12.75" customHeight="1">
      <c r="O346" s="127"/>
      <c r="P346" s="5"/>
    </row>
    <row r="347" ht="12.75" customHeight="1">
      <c r="O347" s="127"/>
      <c r="P347" s="5"/>
    </row>
    <row r="348" ht="12.75" customHeight="1">
      <c r="O348" s="127"/>
      <c r="P348" s="5"/>
    </row>
    <row r="349" ht="12.75" customHeight="1">
      <c r="O349" s="127"/>
      <c r="P349" s="5"/>
    </row>
    <row r="350" ht="12.75" customHeight="1">
      <c r="O350" s="127"/>
      <c r="P350" s="5"/>
    </row>
    <row r="351" ht="12.75" customHeight="1">
      <c r="O351" s="127"/>
      <c r="P351" s="5"/>
    </row>
    <row r="352" ht="12.75" customHeight="1">
      <c r="O352" s="127"/>
      <c r="P352" s="5"/>
    </row>
    <row r="353" ht="12.75" customHeight="1">
      <c r="O353" s="127"/>
      <c r="P353" s="5"/>
    </row>
    <row r="354" ht="12.75" customHeight="1">
      <c r="O354" s="127"/>
      <c r="P354" s="5"/>
    </row>
    <row r="355" ht="12.75" customHeight="1">
      <c r="O355" s="127"/>
      <c r="P355" s="5"/>
    </row>
    <row r="356" ht="12.75" customHeight="1">
      <c r="O356" s="127"/>
      <c r="P356" s="5"/>
    </row>
    <row r="357" ht="12.75" customHeight="1">
      <c r="O357" s="127"/>
      <c r="P357" s="5"/>
    </row>
    <row r="358" ht="12.75" customHeight="1">
      <c r="O358" s="127"/>
      <c r="P358" s="5"/>
    </row>
    <row r="359" ht="12.75" customHeight="1">
      <c r="O359" s="127"/>
      <c r="P359" s="5"/>
    </row>
    <row r="360" ht="12.75" customHeight="1">
      <c r="O360" s="127"/>
      <c r="P360" s="5"/>
    </row>
    <row r="361" ht="12.75" customHeight="1">
      <c r="O361" s="127"/>
      <c r="P361" s="5"/>
    </row>
    <row r="362" ht="12.75" customHeight="1">
      <c r="O362" s="127"/>
      <c r="P362" s="5"/>
    </row>
    <row r="363" ht="12.75" customHeight="1">
      <c r="O363" s="127"/>
      <c r="P363" s="5"/>
    </row>
    <row r="364" ht="12.75" customHeight="1">
      <c r="O364" s="127"/>
      <c r="P364" s="5"/>
    </row>
    <row r="365" ht="12.75" customHeight="1">
      <c r="O365" s="127"/>
      <c r="P365" s="5"/>
    </row>
    <row r="366" ht="12.75" customHeight="1">
      <c r="O366" s="127"/>
      <c r="P366" s="5"/>
    </row>
    <row r="367" ht="12.75" customHeight="1">
      <c r="O367" s="127"/>
      <c r="P367" s="5"/>
    </row>
    <row r="368" ht="12.75" customHeight="1">
      <c r="O368" s="127"/>
      <c r="P368" s="5"/>
    </row>
    <row r="369" ht="12.75" customHeight="1">
      <c r="O369" s="127"/>
      <c r="P369" s="5"/>
    </row>
    <row r="370" ht="12.75" customHeight="1">
      <c r="O370" s="127"/>
      <c r="P370" s="5"/>
    </row>
    <row r="371" ht="12.75" customHeight="1">
      <c r="O371" s="127"/>
      <c r="P371" s="5"/>
    </row>
    <row r="372" ht="12.75" customHeight="1">
      <c r="O372" s="127"/>
      <c r="P372" s="5"/>
    </row>
    <row r="373" ht="12.75" customHeight="1">
      <c r="O373" s="127"/>
      <c r="P373" s="5"/>
    </row>
    <row r="374" ht="12.75" customHeight="1">
      <c r="O374" s="127"/>
      <c r="P374" s="5"/>
    </row>
    <row r="375" ht="12.75" customHeight="1">
      <c r="O375" s="127"/>
      <c r="P375" s="5"/>
    </row>
    <row r="376" ht="12.75" customHeight="1">
      <c r="O376" s="127"/>
      <c r="P376" s="5"/>
    </row>
    <row r="377" ht="12.75" customHeight="1">
      <c r="O377" s="127"/>
      <c r="P377" s="5"/>
    </row>
    <row r="378" ht="12.75" customHeight="1">
      <c r="O378" s="127"/>
      <c r="P378" s="5"/>
    </row>
    <row r="379" ht="12.75" customHeight="1">
      <c r="O379" s="127"/>
      <c r="P379" s="5"/>
    </row>
    <row r="380" ht="12.75" customHeight="1">
      <c r="O380" s="127"/>
      <c r="P380" s="5"/>
    </row>
    <row r="381" ht="12.75" customHeight="1">
      <c r="O381" s="127"/>
      <c r="P381" s="5"/>
    </row>
    <row r="382" ht="12.75" customHeight="1">
      <c r="O382" s="127"/>
      <c r="P382" s="5"/>
    </row>
    <row r="383" ht="12.75" customHeight="1">
      <c r="O383" s="127"/>
      <c r="P383" s="5"/>
    </row>
    <row r="384" ht="12.75" customHeight="1">
      <c r="O384" s="127"/>
      <c r="P384" s="5"/>
    </row>
    <row r="385" ht="12.75" customHeight="1">
      <c r="O385" s="127"/>
      <c r="P385" s="5"/>
    </row>
    <row r="386" ht="12.75" customHeight="1">
      <c r="O386" s="127"/>
      <c r="P386" s="5"/>
    </row>
    <row r="387" ht="12.75" customHeight="1">
      <c r="O387" s="127"/>
      <c r="P387" s="5"/>
    </row>
    <row r="388" ht="12.75" customHeight="1">
      <c r="O388" s="127"/>
      <c r="P388" s="5"/>
    </row>
    <row r="389" ht="12.75" customHeight="1">
      <c r="O389" s="127"/>
      <c r="P389" s="5"/>
    </row>
    <row r="390" ht="12.75" customHeight="1">
      <c r="O390" s="127"/>
      <c r="P390" s="5"/>
    </row>
    <row r="391" ht="12.75" customHeight="1">
      <c r="O391" s="127"/>
      <c r="P391" s="5"/>
    </row>
    <row r="392" ht="12.75" customHeight="1">
      <c r="O392" s="127"/>
      <c r="P392" s="5"/>
    </row>
    <row r="393" ht="12.75" customHeight="1">
      <c r="O393" s="127"/>
      <c r="P393" s="5"/>
    </row>
    <row r="394" ht="12.75" customHeight="1">
      <c r="O394" s="127"/>
      <c r="P394" s="5"/>
    </row>
    <row r="395" ht="12.75" customHeight="1">
      <c r="O395" s="127"/>
      <c r="P395" s="5"/>
    </row>
    <row r="396" ht="12.75" customHeight="1">
      <c r="O396" s="127"/>
      <c r="P396" s="5"/>
    </row>
    <row r="397" ht="12.75" customHeight="1">
      <c r="O397" s="127"/>
      <c r="P397" s="5"/>
    </row>
    <row r="398" ht="12.75" customHeight="1">
      <c r="O398" s="127"/>
      <c r="P398" s="5"/>
    </row>
    <row r="399" ht="12.75" customHeight="1">
      <c r="O399" s="127"/>
      <c r="P399" s="5"/>
    </row>
    <row r="400" ht="12.75" customHeight="1">
      <c r="O400" s="127"/>
      <c r="P400" s="5"/>
    </row>
    <row r="401" ht="12.75" customHeight="1">
      <c r="O401" s="127"/>
      <c r="P401" s="5"/>
    </row>
    <row r="402" ht="12.75" customHeight="1">
      <c r="O402" s="127"/>
      <c r="P402" s="5"/>
    </row>
    <row r="403" ht="12.75" customHeight="1">
      <c r="O403" s="127"/>
      <c r="P403" s="5"/>
    </row>
    <row r="404" ht="12.75" customHeight="1">
      <c r="O404" s="127"/>
      <c r="P404" s="5"/>
    </row>
    <row r="405" ht="12.75" customHeight="1">
      <c r="O405" s="127"/>
      <c r="P405" s="5"/>
    </row>
    <row r="406" ht="12.75" customHeight="1">
      <c r="O406" s="127"/>
      <c r="P406" s="5"/>
    </row>
    <row r="407" ht="12.75" customHeight="1">
      <c r="O407" s="127"/>
      <c r="P407" s="5"/>
    </row>
    <row r="408" ht="12.75" customHeight="1">
      <c r="O408" s="127"/>
      <c r="P408" s="5"/>
    </row>
    <row r="409" ht="12.75" customHeight="1">
      <c r="O409" s="127"/>
      <c r="P409" s="5"/>
    </row>
    <row r="410" ht="12.75" customHeight="1">
      <c r="O410" s="127"/>
      <c r="P410" s="5"/>
    </row>
    <row r="411" ht="12.75" customHeight="1">
      <c r="O411" s="127"/>
      <c r="P411" s="5"/>
    </row>
    <row r="412" ht="12.75" customHeight="1">
      <c r="O412" s="127"/>
      <c r="P412" s="5"/>
    </row>
    <row r="413" ht="12.75" customHeight="1">
      <c r="O413" s="127"/>
      <c r="P413" s="5"/>
    </row>
    <row r="414" ht="12.75" customHeight="1">
      <c r="O414" s="127"/>
      <c r="P414" s="5"/>
    </row>
    <row r="415" ht="12.75" customHeight="1">
      <c r="O415" s="127"/>
      <c r="P415" s="5"/>
    </row>
    <row r="416" ht="12.75" customHeight="1">
      <c r="O416" s="127"/>
      <c r="P416" s="5"/>
    </row>
    <row r="417" ht="12.75" customHeight="1">
      <c r="O417" s="127"/>
      <c r="P417" s="5"/>
    </row>
    <row r="418" ht="12.75" customHeight="1">
      <c r="O418" s="127"/>
      <c r="P418" s="5"/>
    </row>
    <row r="419" ht="12.75" customHeight="1">
      <c r="O419" s="127"/>
      <c r="P419" s="5"/>
    </row>
    <row r="420" ht="12.75" customHeight="1">
      <c r="O420" s="127"/>
      <c r="P420" s="5"/>
    </row>
    <row r="421" ht="12.75" customHeight="1">
      <c r="O421" s="127"/>
      <c r="P421" s="5"/>
    </row>
    <row r="422" ht="12.75" customHeight="1">
      <c r="O422" s="127"/>
      <c r="P422" s="5"/>
    </row>
    <row r="423" ht="12.75" customHeight="1">
      <c r="O423" s="127"/>
      <c r="P423" s="5"/>
    </row>
    <row r="424" ht="12.75" customHeight="1">
      <c r="O424" s="127"/>
      <c r="P424" s="5"/>
    </row>
    <row r="425" ht="12.75" customHeight="1">
      <c r="O425" s="127"/>
      <c r="P425" s="5"/>
    </row>
    <row r="426" ht="12.75" customHeight="1">
      <c r="O426" s="127"/>
      <c r="P426" s="5"/>
    </row>
    <row r="427" ht="12.75" customHeight="1">
      <c r="O427" s="127"/>
      <c r="P427" s="5"/>
    </row>
    <row r="428" ht="12.75" customHeight="1">
      <c r="O428" s="127"/>
      <c r="P428" s="5"/>
    </row>
    <row r="429" ht="12.75" customHeight="1">
      <c r="O429" s="127"/>
      <c r="P429" s="5"/>
    </row>
    <row r="430" ht="12.75" customHeight="1">
      <c r="O430" s="127"/>
      <c r="P430" s="5"/>
    </row>
    <row r="431" ht="12.75" customHeight="1">
      <c r="O431" s="127"/>
      <c r="P431" s="5"/>
    </row>
    <row r="432" ht="12.75" customHeight="1">
      <c r="O432" s="127"/>
      <c r="P432" s="5"/>
    </row>
    <row r="433" ht="12.75" customHeight="1">
      <c r="O433" s="127"/>
      <c r="P433" s="5"/>
    </row>
    <row r="434" ht="12.75" customHeight="1">
      <c r="O434" s="127"/>
      <c r="P434" s="5"/>
    </row>
    <row r="435" ht="12.75" customHeight="1">
      <c r="O435" s="127"/>
      <c r="P435" s="5"/>
    </row>
    <row r="436" ht="12.75" customHeight="1">
      <c r="O436" s="127"/>
      <c r="P436" s="5"/>
    </row>
    <row r="437" ht="12.75" customHeight="1">
      <c r="O437" s="127"/>
      <c r="P437" s="5"/>
    </row>
    <row r="438" ht="12.75" customHeight="1">
      <c r="O438" s="127"/>
      <c r="P438" s="5"/>
    </row>
    <row r="439" ht="12.75" customHeight="1">
      <c r="O439" s="127"/>
      <c r="P439" s="5"/>
    </row>
    <row r="440" ht="12.75" customHeight="1">
      <c r="O440" s="127"/>
      <c r="P440" s="5"/>
    </row>
    <row r="441" ht="12.75" customHeight="1">
      <c r="O441" s="127"/>
      <c r="P441" s="5"/>
    </row>
    <row r="442" ht="12.75" customHeight="1">
      <c r="O442" s="127"/>
      <c r="P442" s="5"/>
    </row>
    <row r="443" ht="12.75" customHeight="1">
      <c r="O443" s="127"/>
      <c r="P443" s="5"/>
    </row>
    <row r="444" ht="12.75" customHeight="1">
      <c r="O444" s="127"/>
      <c r="P444" s="5"/>
    </row>
    <row r="445" ht="12.75" customHeight="1">
      <c r="O445" s="127"/>
      <c r="P445" s="5"/>
    </row>
    <row r="446" ht="12.75" customHeight="1">
      <c r="O446" s="127"/>
      <c r="P446" s="5"/>
    </row>
    <row r="447" ht="12.75" customHeight="1">
      <c r="O447" s="127"/>
      <c r="P447" s="5"/>
    </row>
    <row r="448" ht="12.75" customHeight="1">
      <c r="O448" s="127"/>
      <c r="P448" s="5"/>
    </row>
    <row r="449" ht="12.75" customHeight="1">
      <c r="O449" s="127"/>
      <c r="P449" s="5"/>
    </row>
    <row r="450" ht="12.75" customHeight="1">
      <c r="O450" s="127"/>
      <c r="P450" s="5"/>
    </row>
    <row r="451" ht="12.75" customHeight="1">
      <c r="O451" s="127"/>
      <c r="P451" s="5"/>
    </row>
    <row r="452" ht="12.75" customHeight="1">
      <c r="O452" s="127"/>
      <c r="P452" s="5"/>
    </row>
    <row r="453" ht="12.75" customHeight="1">
      <c r="O453" s="127"/>
      <c r="P453" s="5"/>
    </row>
    <row r="454" ht="12.75" customHeight="1">
      <c r="O454" s="127"/>
      <c r="P454" s="5"/>
    </row>
    <row r="455" ht="12.75" customHeight="1">
      <c r="O455" s="127"/>
      <c r="P455" s="5"/>
    </row>
    <row r="456" ht="12.75" customHeight="1">
      <c r="O456" s="127"/>
      <c r="P456" s="5"/>
    </row>
    <row r="457" ht="12.75" customHeight="1">
      <c r="O457" s="127"/>
      <c r="P457" s="5"/>
    </row>
    <row r="458" ht="12.75" customHeight="1">
      <c r="O458" s="127"/>
      <c r="P458" s="5"/>
    </row>
    <row r="459" ht="12.75" customHeight="1">
      <c r="O459" s="127"/>
      <c r="P459" s="5"/>
    </row>
    <row r="460" ht="12.75" customHeight="1">
      <c r="O460" s="127"/>
      <c r="P460" s="5"/>
    </row>
    <row r="461" ht="12.75" customHeight="1">
      <c r="O461" s="127"/>
      <c r="P461" s="5"/>
    </row>
    <row r="462" ht="12.75" customHeight="1">
      <c r="O462" s="127"/>
      <c r="P462" s="5"/>
    </row>
    <row r="463" ht="12.75" customHeight="1">
      <c r="O463" s="127"/>
      <c r="P463" s="5"/>
    </row>
    <row r="464" ht="12.75" customHeight="1">
      <c r="O464" s="127"/>
      <c r="P464" s="5"/>
    </row>
    <row r="465" ht="12.75" customHeight="1">
      <c r="O465" s="127"/>
      <c r="P465" s="5"/>
    </row>
    <row r="466" ht="12.75" customHeight="1">
      <c r="O466" s="127"/>
      <c r="P466" s="5"/>
    </row>
    <row r="467" ht="12.75" customHeight="1">
      <c r="O467" s="127"/>
      <c r="P467" s="5"/>
    </row>
    <row r="468" ht="12.75" customHeight="1">
      <c r="O468" s="127"/>
      <c r="P468" s="5"/>
    </row>
    <row r="469" ht="12.75" customHeight="1">
      <c r="O469" s="127"/>
      <c r="P469" s="5"/>
    </row>
    <row r="470" ht="12.75" customHeight="1">
      <c r="O470" s="127"/>
      <c r="P470" s="5"/>
    </row>
    <row r="471" ht="12.75" customHeight="1">
      <c r="O471" s="127"/>
      <c r="P471" s="5"/>
    </row>
    <row r="472" ht="12.75" customHeight="1">
      <c r="O472" s="127"/>
      <c r="P472" s="5"/>
    </row>
    <row r="473" ht="12.75" customHeight="1">
      <c r="O473" s="127"/>
      <c r="P473" s="5"/>
    </row>
    <row r="474" ht="12.75" customHeight="1">
      <c r="O474" s="127"/>
      <c r="P474" s="5"/>
    </row>
    <row r="475" ht="12.75" customHeight="1">
      <c r="O475" s="127"/>
      <c r="P475" s="5"/>
    </row>
    <row r="476" ht="12.75" customHeight="1">
      <c r="O476" s="127"/>
      <c r="P476" s="5"/>
    </row>
    <row r="477" ht="12.75" customHeight="1">
      <c r="O477" s="127"/>
      <c r="P477" s="5"/>
    </row>
    <row r="478" ht="12.75" customHeight="1">
      <c r="O478" s="127"/>
      <c r="P478" s="5"/>
    </row>
    <row r="479" ht="12.75" customHeight="1">
      <c r="O479" s="127"/>
      <c r="P479" s="5"/>
    </row>
    <row r="480" ht="12.75" customHeight="1">
      <c r="O480" s="127"/>
      <c r="P480" s="5"/>
    </row>
    <row r="481" ht="12.75" customHeight="1">
      <c r="O481" s="127"/>
      <c r="P481" s="5"/>
    </row>
    <row r="482" ht="12.75" customHeight="1">
      <c r="O482" s="127"/>
      <c r="P482" s="5"/>
    </row>
    <row r="483" ht="12.75" customHeight="1">
      <c r="O483" s="127"/>
      <c r="P483" s="5"/>
    </row>
    <row r="484" ht="12.75" customHeight="1">
      <c r="O484" s="127"/>
      <c r="P484" s="5"/>
    </row>
    <row r="485" ht="12.75" customHeight="1">
      <c r="O485" s="127"/>
      <c r="P485" s="5"/>
    </row>
    <row r="486" ht="12.75" customHeight="1">
      <c r="O486" s="127"/>
      <c r="P486" s="5"/>
    </row>
    <row r="487" ht="12.75" customHeight="1">
      <c r="O487" s="127"/>
      <c r="P487" s="5"/>
    </row>
    <row r="488" ht="12.75" customHeight="1">
      <c r="O488" s="127"/>
      <c r="P488" s="5"/>
    </row>
    <row r="489" ht="12.75" customHeight="1">
      <c r="O489" s="127"/>
      <c r="P489" s="5"/>
    </row>
    <row r="490" ht="12.75" customHeight="1">
      <c r="O490" s="127"/>
      <c r="P490" s="5"/>
    </row>
    <row r="491" ht="12.75" customHeight="1">
      <c r="O491" s="127"/>
      <c r="P491" s="5"/>
    </row>
    <row r="492" ht="12.75" customHeight="1">
      <c r="O492" s="127"/>
      <c r="P492" s="5"/>
    </row>
    <row r="493" ht="12.75" customHeight="1">
      <c r="O493" s="127"/>
      <c r="P493" s="5"/>
    </row>
    <row r="494" ht="12.75" customHeight="1">
      <c r="O494" s="127"/>
      <c r="P494" s="5"/>
    </row>
    <row r="495" ht="12.75" customHeight="1">
      <c r="O495" s="127"/>
      <c r="P495" s="5"/>
    </row>
    <row r="496" ht="12.75" customHeight="1">
      <c r="O496" s="127"/>
      <c r="P496" s="5"/>
    </row>
    <row r="497" ht="12.75" customHeight="1">
      <c r="O497" s="127"/>
      <c r="P497" s="5"/>
    </row>
    <row r="498" ht="12.75" customHeight="1">
      <c r="O498" s="127"/>
      <c r="P498" s="5"/>
    </row>
    <row r="499" ht="12.75" customHeight="1">
      <c r="O499" s="127"/>
      <c r="P499" s="5"/>
    </row>
    <row r="500" ht="12.75" customHeight="1">
      <c r="O500" s="127"/>
      <c r="P500" s="5"/>
    </row>
    <row r="501" ht="12.75" customHeight="1">
      <c r="O501" s="127"/>
      <c r="P501" s="5"/>
    </row>
    <row r="502" ht="12.75" customHeight="1">
      <c r="O502" s="127"/>
      <c r="P502" s="5"/>
    </row>
    <row r="503" ht="12.75" customHeight="1">
      <c r="O503" s="127"/>
      <c r="P503" s="5"/>
    </row>
    <row r="504" ht="12.75" customHeight="1">
      <c r="O504" s="127"/>
      <c r="P504" s="5"/>
    </row>
    <row r="505" ht="12.75" customHeight="1">
      <c r="O505" s="127"/>
      <c r="P505" s="5"/>
    </row>
    <row r="506" ht="12.75" customHeight="1">
      <c r="O506" s="127"/>
      <c r="P506" s="5"/>
    </row>
    <row r="507" ht="12.75" customHeight="1">
      <c r="O507" s="127"/>
      <c r="P507" s="5"/>
    </row>
    <row r="508" ht="12.75" customHeight="1">
      <c r="O508" s="127"/>
      <c r="P508" s="5"/>
    </row>
    <row r="509" ht="12.75" customHeight="1">
      <c r="O509" s="127"/>
      <c r="P509" s="5"/>
    </row>
    <row r="510" ht="12.75" customHeight="1">
      <c r="O510" s="127"/>
      <c r="P510" s="5"/>
    </row>
    <row r="511" ht="12.75" customHeight="1">
      <c r="O511" s="127"/>
      <c r="P511" s="5"/>
    </row>
    <row r="512" ht="12.75" customHeight="1">
      <c r="O512" s="127"/>
      <c r="P512" s="5"/>
    </row>
    <row r="513" ht="12.75" customHeight="1">
      <c r="O513" s="127"/>
      <c r="P513" s="5"/>
    </row>
    <row r="514" ht="12.75" customHeight="1">
      <c r="O514" s="127"/>
      <c r="P514" s="5"/>
    </row>
    <row r="515" ht="12.75" customHeight="1">
      <c r="O515" s="127"/>
      <c r="P515" s="5"/>
    </row>
    <row r="516" ht="12.75" customHeight="1">
      <c r="O516" s="127"/>
      <c r="P516" s="5"/>
    </row>
    <row r="517" ht="12.75" customHeight="1">
      <c r="O517" s="127"/>
      <c r="P517" s="5"/>
    </row>
    <row r="518" ht="12.75" customHeight="1">
      <c r="O518" s="127"/>
      <c r="P518" s="5"/>
    </row>
    <row r="519" ht="12.75" customHeight="1">
      <c r="O519" s="127"/>
      <c r="P519" s="5"/>
    </row>
    <row r="520" ht="12.75" customHeight="1">
      <c r="O520" s="127"/>
      <c r="P520" s="5"/>
    </row>
    <row r="521" ht="12.75" customHeight="1">
      <c r="O521" s="127"/>
      <c r="P521" s="5"/>
    </row>
    <row r="522" ht="12.75" customHeight="1">
      <c r="O522" s="127"/>
      <c r="P522" s="5"/>
    </row>
    <row r="523" ht="12.75" customHeight="1">
      <c r="O523" s="127"/>
      <c r="P523" s="5"/>
    </row>
    <row r="524" ht="12.75" customHeight="1">
      <c r="O524" s="127"/>
      <c r="P524" s="5"/>
    </row>
    <row r="525" ht="12.75" customHeight="1">
      <c r="O525" s="127"/>
      <c r="P525" s="5"/>
    </row>
    <row r="526" ht="12.75" customHeight="1">
      <c r="O526" s="127"/>
      <c r="P526" s="5"/>
    </row>
    <row r="527" ht="12.75" customHeight="1">
      <c r="O527" s="127"/>
      <c r="P527" s="5"/>
    </row>
    <row r="528" ht="12.75" customHeight="1">
      <c r="O528" s="127"/>
      <c r="P528" s="5"/>
    </row>
    <row r="529" ht="12.75" customHeight="1">
      <c r="O529" s="127"/>
      <c r="P529" s="5"/>
    </row>
    <row r="530" ht="12.75" customHeight="1">
      <c r="O530" s="127"/>
      <c r="P530" s="5"/>
    </row>
    <row r="531" ht="12.75" customHeight="1">
      <c r="O531" s="127"/>
      <c r="P531" s="5"/>
    </row>
    <row r="532" ht="12.75" customHeight="1">
      <c r="O532" s="127"/>
      <c r="P532" s="5"/>
    </row>
    <row r="533" ht="12.75" customHeight="1">
      <c r="O533" s="127"/>
      <c r="P533" s="5"/>
    </row>
    <row r="534" ht="12.75" customHeight="1">
      <c r="O534" s="127"/>
      <c r="P534" s="5"/>
    </row>
    <row r="535" ht="12.75" customHeight="1">
      <c r="O535" s="127"/>
      <c r="P535" s="5"/>
    </row>
    <row r="536" ht="12.75" customHeight="1">
      <c r="O536" s="127"/>
      <c r="P536" s="5"/>
    </row>
    <row r="537" ht="12.75" customHeight="1">
      <c r="O537" s="127"/>
      <c r="P537" s="5"/>
    </row>
    <row r="538" ht="12.75" customHeight="1">
      <c r="O538" s="127"/>
      <c r="P538" s="5"/>
    </row>
    <row r="539" ht="12.75" customHeight="1">
      <c r="O539" s="127"/>
      <c r="P539" s="5"/>
    </row>
    <row r="540" ht="12.75" customHeight="1">
      <c r="O540" s="127"/>
      <c r="P540" s="5"/>
    </row>
    <row r="541" ht="12.75" customHeight="1">
      <c r="O541" s="127"/>
      <c r="P541" s="5"/>
    </row>
    <row r="542" ht="12.75" customHeight="1">
      <c r="O542" s="127"/>
      <c r="P542" s="5"/>
    </row>
    <row r="543" ht="12.75" customHeight="1">
      <c r="O543" s="127"/>
      <c r="P543" s="5"/>
    </row>
    <row r="544" ht="12.75" customHeight="1">
      <c r="O544" s="127"/>
      <c r="P544" s="5"/>
    </row>
    <row r="545" ht="12.75" customHeight="1">
      <c r="O545" s="127"/>
      <c r="P545" s="5"/>
    </row>
    <row r="546" ht="12.75" customHeight="1">
      <c r="O546" s="127"/>
      <c r="P546" s="5"/>
    </row>
    <row r="547" ht="12.75" customHeight="1">
      <c r="O547" s="127"/>
      <c r="P547" s="5"/>
    </row>
    <row r="548" ht="12.75" customHeight="1">
      <c r="O548" s="127"/>
      <c r="P548" s="5"/>
    </row>
    <row r="549" ht="12.75" customHeight="1">
      <c r="O549" s="127"/>
      <c r="P549" s="5"/>
    </row>
    <row r="550" ht="12.75" customHeight="1">
      <c r="O550" s="127"/>
      <c r="P550" s="5"/>
    </row>
    <row r="551" ht="12.75" customHeight="1">
      <c r="O551" s="127"/>
      <c r="P551" s="5"/>
    </row>
    <row r="552" ht="12.75" customHeight="1">
      <c r="O552" s="127"/>
      <c r="P552" s="5"/>
    </row>
    <row r="553" ht="12.75" customHeight="1">
      <c r="O553" s="127"/>
      <c r="P553" s="5"/>
    </row>
    <row r="554" ht="12.75" customHeight="1">
      <c r="O554" s="127"/>
      <c r="P554" s="5"/>
    </row>
    <row r="555" ht="12.75" customHeight="1">
      <c r="O555" s="127"/>
      <c r="P555" s="5"/>
    </row>
    <row r="556" ht="12.75" customHeight="1">
      <c r="O556" s="127"/>
      <c r="P556" s="5"/>
    </row>
    <row r="557" ht="12.75" customHeight="1">
      <c r="O557" s="127"/>
      <c r="P557" s="5"/>
    </row>
    <row r="558" ht="12.75" customHeight="1">
      <c r="O558" s="127"/>
      <c r="P558" s="5"/>
    </row>
    <row r="559" ht="12.75" customHeight="1">
      <c r="O559" s="127"/>
      <c r="P559" s="5"/>
    </row>
    <row r="560" ht="12.75" customHeight="1">
      <c r="O560" s="127"/>
      <c r="P560" s="5"/>
    </row>
    <row r="561" ht="12.75" customHeight="1">
      <c r="O561" s="127"/>
      <c r="P561" s="5"/>
    </row>
    <row r="562" ht="12.75" customHeight="1">
      <c r="O562" s="127"/>
      <c r="P562" s="5"/>
    </row>
    <row r="563" ht="12.75" customHeight="1">
      <c r="O563" s="127"/>
      <c r="P563" s="5"/>
    </row>
    <row r="564" ht="12.75" customHeight="1">
      <c r="O564" s="127"/>
      <c r="P564" s="5"/>
    </row>
    <row r="565" ht="12.75" customHeight="1">
      <c r="O565" s="127"/>
      <c r="P565" s="5"/>
    </row>
    <row r="566" ht="12.75" customHeight="1">
      <c r="O566" s="127"/>
      <c r="P566" s="5"/>
    </row>
    <row r="567" ht="12.75" customHeight="1">
      <c r="O567" s="127"/>
      <c r="P567" s="5"/>
    </row>
    <row r="568" ht="12.75" customHeight="1">
      <c r="O568" s="127"/>
      <c r="P568" s="5"/>
    </row>
    <row r="569" ht="12.75" customHeight="1">
      <c r="O569" s="127"/>
      <c r="P569" s="5"/>
    </row>
    <row r="570" ht="12.75" customHeight="1">
      <c r="O570" s="127"/>
      <c r="P570" s="5"/>
    </row>
    <row r="571" ht="12.75" customHeight="1">
      <c r="O571" s="127"/>
      <c r="P571" s="5"/>
    </row>
    <row r="572" ht="12.75" customHeight="1">
      <c r="O572" s="127"/>
      <c r="P572" s="5"/>
    </row>
    <row r="573" ht="12.75" customHeight="1">
      <c r="O573" s="127"/>
      <c r="P573" s="5"/>
    </row>
    <row r="574" ht="12.75" customHeight="1">
      <c r="O574" s="127"/>
      <c r="P574" s="5"/>
    </row>
    <row r="575" ht="12.75" customHeight="1">
      <c r="O575" s="127"/>
      <c r="P575" s="5"/>
    </row>
    <row r="576" ht="12.75" customHeight="1">
      <c r="O576" s="127"/>
      <c r="P576" s="5"/>
    </row>
    <row r="577" ht="12.75" customHeight="1">
      <c r="O577" s="127"/>
      <c r="P577" s="5"/>
    </row>
    <row r="578" ht="12.75" customHeight="1">
      <c r="O578" s="127"/>
      <c r="P578" s="5"/>
    </row>
    <row r="579" ht="12.75" customHeight="1">
      <c r="O579" s="127"/>
      <c r="P579" s="5"/>
    </row>
    <row r="580" ht="12.75" customHeight="1">
      <c r="O580" s="127"/>
      <c r="P580" s="5"/>
    </row>
    <row r="581" ht="12.75" customHeight="1">
      <c r="O581" s="127"/>
      <c r="P581" s="5"/>
    </row>
    <row r="582" ht="12.75" customHeight="1">
      <c r="O582" s="127"/>
      <c r="P582" s="5"/>
    </row>
    <row r="583" ht="12.75" customHeight="1">
      <c r="O583" s="127"/>
      <c r="P583" s="5"/>
    </row>
    <row r="584" ht="12.75" customHeight="1">
      <c r="O584" s="127"/>
      <c r="P584" s="5"/>
    </row>
    <row r="585" ht="12.75" customHeight="1">
      <c r="O585" s="127"/>
      <c r="P585" s="5"/>
    </row>
    <row r="586" ht="12.75" customHeight="1">
      <c r="O586" s="127"/>
      <c r="P586" s="5"/>
    </row>
    <row r="587" ht="12.75" customHeight="1">
      <c r="O587" s="127"/>
      <c r="P587" s="5"/>
    </row>
    <row r="588" ht="12.75" customHeight="1">
      <c r="O588" s="127"/>
      <c r="P588" s="5"/>
    </row>
    <row r="589" ht="12.75" customHeight="1">
      <c r="O589" s="127"/>
      <c r="P589" s="5"/>
    </row>
    <row r="590" ht="12.75" customHeight="1">
      <c r="O590" s="127"/>
      <c r="P590" s="5"/>
    </row>
    <row r="591" ht="12.75" customHeight="1">
      <c r="O591" s="127"/>
      <c r="P591" s="5"/>
    </row>
    <row r="592" ht="12.75" customHeight="1">
      <c r="O592" s="127"/>
      <c r="P592" s="5"/>
    </row>
    <row r="593" ht="12.75" customHeight="1">
      <c r="O593" s="127"/>
      <c r="P593" s="5"/>
    </row>
    <row r="594" ht="12.75" customHeight="1">
      <c r="O594" s="127"/>
      <c r="P594" s="5"/>
    </row>
    <row r="595" ht="12.75" customHeight="1">
      <c r="O595" s="127"/>
      <c r="P595" s="5"/>
    </row>
    <row r="596" ht="12.75" customHeight="1">
      <c r="O596" s="127"/>
      <c r="P596" s="5"/>
    </row>
    <row r="597" ht="12.75" customHeight="1">
      <c r="O597" s="127"/>
      <c r="P597" s="5"/>
    </row>
    <row r="598" ht="12.75" customHeight="1">
      <c r="O598" s="127"/>
      <c r="P598" s="5"/>
    </row>
    <row r="599" ht="12.75" customHeight="1">
      <c r="O599" s="127"/>
      <c r="P599" s="5"/>
    </row>
    <row r="600" ht="12.75" customHeight="1">
      <c r="O600" s="127"/>
      <c r="P600" s="5"/>
    </row>
    <row r="601" ht="12.75" customHeight="1">
      <c r="O601" s="127"/>
      <c r="P601" s="5"/>
    </row>
    <row r="602" ht="12.75" customHeight="1">
      <c r="O602" s="127"/>
      <c r="P602" s="5"/>
    </row>
    <row r="603" ht="12.75" customHeight="1">
      <c r="O603" s="127"/>
      <c r="P603" s="5"/>
    </row>
    <row r="604" ht="12.75" customHeight="1">
      <c r="O604" s="127"/>
      <c r="P604" s="5"/>
    </row>
    <row r="605" ht="12.75" customHeight="1">
      <c r="O605" s="127"/>
      <c r="P605" s="5"/>
    </row>
    <row r="606" ht="12.75" customHeight="1">
      <c r="O606" s="127"/>
      <c r="P606" s="5"/>
    </row>
    <row r="607" ht="12.75" customHeight="1">
      <c r="O607" s="127"/>
      <c r="P607" s="5"/>
    </row>
    <row r="608" ht="12.75" customHeight="1">
      <c r="O608" s="127"/>
      <c r="P608" s="5"/>
    </row>
    <row r="609" ht="12.75" customHeight="1">
      <c r="O609" s="127"/>
      <c r="P609" s="5"/>
    </row>
    <row r="610" ht="12.75" customHeight="1">
      <c r="O610" s="127"/>
      <c r="P610" s="5"/>
    </row>
    <row r="611" ht="12.75" customHeight="1">
      <c r="O611" s="127"/>
      <c r="P611" s="5"/>
    </row>
    <row r="612" ht="12.75" customHeight="1">
      <c r="O612" s="127"/>
      <c r="P612" s="5"/>
    </row>
    <row r="613" ht="12.75" customHeight="1">
      <c r="O613" s="127"/>
      <c r="P613" s="5"/>
    </row>
    <row r="614" ht="12.75" customHeight="1">
      <c r="O614" s="127"/>
      <c r="P614" s="5"/>
    </row>
    <row r="615" ht="12.75" customHeight="1">
      <c r="O615" s="127"/>
      <c r="P615" s="5"/>
    </row>
    <row r="616" ht="12.75" customHeight="1">
      <c r="O616" s="127"/>
      <c r="P616" s="5"/>
    </row>
    <row r="617" ht="12.75" customHeight="1">
      <c r="O617" s="127"/>
      <c r="P617" s="5"/>
    </row>
    <row r="618" ht="12.75" customHeight="1">
      <c r="O618" s="127"/>
      <c r="P618" s="5"/>
    </row>
    <row r="619" ht="12.75" customHeight="1">
      <c r="O619" s="127"/>
      <c r="P619" s="5"/>
    </row>
    <row r="620" ht="12.75" customHeight="1">
      <c r="O620" s="127"/>
      <c r="P620" s="5"/>
    </row>
    <row r="621" ht="12.75" customHeight="1">
      <c r="O621" s="127"/>
      <c r="P621" s="5"/>
    </row>
    <row r="622" ht="12.75" customHeight="1">
      <c r="O622" s="127"/>
      <c r="P622" s="5"/>
    </row>
    <row r="623" ht="12.75" customHeight="1">
      <c r="O623" s="127"/>
      <c r="P623" s="5"/>
    </row>
    <row r="624" ht="12.75" customHeight="1">
      <c r="O624" s="127"/>
      <c r="P624" s="5"/>
    </row>
    <row r="625" ht="12.75" customHeight="1">
      <c r="O625" s="127"/>
      <c r="P625" s="5"/>
    </row>
    <row r="626" ht="12.75" customHeight="1">
      <c r="O626" s="127"/>
      <c r="P626" s="5"/>
    </row>
    <row r="627" ht="12.75" customHeight="1">
      <c r="O627" s="127"/>
      <c r="P627" s="5"/>
    </row>
    <row r="628" ht="12.75" customHeight="1">
      <c r="O628" s="127"/>
      <c r="P628" s="5"/>
    </row>
    <row r="629" ht="12.75" customHeight="1">
      <c r="O629" s="127"/>
      <c r="P629" s="5"/>
    </row>
    <row r="630" ht="12.75" customHeight="1">
      <c r="O630" s="127"/>
      <c r="P630" s="5"/>
    </row>
    <row r="631" ht="12.75" customHeight="1">
      <c r="O631" s="127"/>
      <c r="P631" s="5"/>
    </row>
    <row r="632" ht="12.75" customHeight="1">
      <c r="O632" s="127"/>
      <c r="P632" s="5"/>
    </row>
    <row r="633" ht="12.75" customHeight="1">
      <c r="O633" s="127"/>
      <c r="P633" s="5"/>
    </row>
    <row r="634" ht="12.75" customHeight="1">
      <c r="O634" s="127"/>
      <c r="P634" s="5"/>
    </row>
    <row r="635" ht="12.75" customHeight="1">
      <c r="O635" s="127"/>
      <c r="P635" s="5"/>
    </row>
    <row r="636" ht="12.75" customHeight="1">
      <c r="O636" s="127"/>
      <c r="P636" s="5"/>
    </row>
    <row r="637" ht="12.75" customHeight="1">
      <c r="O637" s="127"/>
      <c r="P637" s="5"/>
    </row>
    <row r="638" ht="12.75" customHeight="1">
      <c r="O638" s="127"/>
      <c r="P638" s="5"/>
    </row>
    <row r="639" ht="12.75" customHeight="1">
      <c r="O639" s="127"/>
      <c r="P639" s="5"/>
    </row>
    <row r="640" ht="12.75" customHeight="1">
      <c r="O640" s="127"/>
      <c r="P640" s="5"/>
    </row>
    <row r="641" ht="12.75" customHeight="1">
      <c r="O641" s="127"/>
      <c r="P641" s="5"/>
    </row>
    <row r="642" ht="12.75" customHeight="1">
      <c r="O642" s="127"/>
      <c r="P642" s="5"/>
    </row>
    <row r="643" ht="12.75" customHeight="1">
      <c r="O643" s="127"/>
      <c r="P643" s="5"/>
    </row>
    <row r="644" ht="12.75" customHeight="1">
      <c r="O644" s="127"/>
      <c r="P644" s="5"/>
    </row>
    <row r="645" ht="12.75" customHeight="1">
      <c r="O645" s="127"/>
      <c r="P645" s="5"/>
    </row>
    <row r="646" ht="12.75" customHeight="1">
      <c r="O646" s="127"/>
      <c r="P646" s="5"/>
    </row>
    <row r="647" ht="12.75" customHeight="1">
      <c r="O647" s="127"/>
      <c r="P647" s="5"/>
    </row>
    <row r="648" ht="12.75" customHeight="1">
      <c r="O648" s="127"/>
      <c r="P648" s="5"/>
    </row>
    <row r="649" ht="12.75" customHeight="1">
      <c r="O649" s="127"/>
      <c r="P649" s="5"/>
    </row>
    <row r="650" ht="12.75" customHeight="1">
      <c r="O650" s="127"/>
      <c r="P650" s="5"/>
    </row>
    <row r="651" ht="12.75" customHeight="1">
      <c r="O651" s="127"/>
      <c r="P651" s="5"/>
    </row>
    <row r="652" ht="12.75" customHeight="1">
      <c r="O652" s="127"/>
      <c r="P652" s="5"/>
    </row>
    <row r="653" ht="12.75" customHeight="1">
      <c r="O653" s="127"/>
      <c r="P653" s="5"/>
    </row>
    <row r="654" ht="12.75" customHeight="1">
      <c r="O654" s="127"/>
      <c r="P654" s="5"/>
    </row>
    <row r="655" ht="12.75" customHeight="1">
      <c r="O655" s="127"/>
      <c r="P655" s="5"/>
    </row>
    <row r="656" ht="12.75" customHeight="1">
      <c r="O656" s="127"/>
      <c r="P656" s="5"/>
    </row>
    <row r="657" ht="12.75" customHeight="1">
      <c r="O657" s="127"/>
      <c r="P657" s="5"/>
    </row>
    <row r="658" ht="12.75" customHeight="1">
      <c r="O658" s="127"/>
      <c r="P658" s="5"/>
    </row>
    <row r="659" ht="12.75" customHeight="1">
      <c r="O659" s="127"/>
      <c r="P659" s="5"/>
    </row>
    <row r="660" ht="12.75" customHeight="1">
      <c r="O660" s="127"/>
      <c r="P660" s="5"/>
    </row>
    <row r="661" ht="12.75" customHeight="1">
      <c r="O661" s="127"/>
      <c r="P661" s="5"/>
    </row>
    <row r="662" ht="12.75" customHeight="1">
      <c r="O662" s="127"/>
      <c r="P662" s="5"/>
    </row>
    <row r="663" ht="12.75" customHeight="1">
      <c r="O663" s="127"/>
      <c r="P663" s="5"/>
    </row>
    <row r="664" ht="12.75" customHeight="1">
      <c r="O664" s="127"/>
      <c r="P664" s="5"/>
    </row>
    <row r="665" ht="12.75" customHeight="1">
      <c r="O665" s="127"/>
      <c r="P665" s="5"/>
    </row>
    <row r="666" ht="12.75" customHeight="1">
      <c r="O666" s="127"/>
      <c r="P666" s="5"/>
    </row>
    <row r="667" ht="12.75" customHeight="1">
      <c r="O667" s="127"/>
      <c r="P667" s="5"/>
    </row>
    <row r="668" ht="12.75" customHeight="1">
      <c r="O668" s="127"/>
      <c r="P668" s="5"/>
    </row>
    <row r="669" ht="12.75" customHeight="1">
      <c r="O669" s="127"/>
      <c r="P669" s="5"/>
    </row>
    <row r="670" ht="12.75" customHeight="1">
      <c r="O670" s="127"/>
      <c r="P670" s="5"/>
    </row>
    <row r="671" ht="12.75" customHeight="1">
      <c r="O671" s="127"/>
      <c r="P671" s="5"/>
    </row>
    <row r="672" ht="12.75" customHeight="1">
      <c r="O672" s="127"/>
      <c r="P672" s="5"/>
    </row>
    <row r="673" ht="12.75" customHeight="1">
      <c r="O673" s="127"/>
      <c r="P673" s="5"/>
    </row>
    <row r="674" ht="12.75" customHeight="1">
      <c r="O674" s="127"/>
      <c r="P674" s="5"/>
    </row>
    <row r="675" ht="12.75" customHeight="1">
      <c r="O675" s="127"/>
      <c r="P675" s="5"/>
    </row>
    <row r="676" ht="12.75" customHeight="1">
      <c r="O676" s="127"/>
      <c r="P676" s="5"/>
    </row>
    <row r="677" ht="12.75" customHeight="1">
      <c r="O677" s="127"/>
      <c r="P677" s="5"/>
    </row>
    <row r="678" ht="12.75" customHeight="1">
      <c r="O678" s="127"/>
      <c r="P678" s="5"/>
    </row>
    <row r="679" ht="12.75" customHeight="1">
      <c r="O679" s="127"/>
      <c r="P679" s="5"/>
    </row>
    <row r="680" ht="12.75" customHeight="1">
      <c r="O680" s="127"/>
      <c r="P680" s="5"/>
    </row>
    <row r="681" ht="12.75" customHeight="1">
      <c r="O681" s="127"/>
      <c r="P681" s="5"/>
    </row>
    <row r="682" ht="12.75" customHeight="1">
      <c r="O682" s="127"/>
      <c r="P682" s="5"/>
    </row>
    <row r="683" ht="12.75" customHeight="1">
      <c r="O683" s="127"/>
      <c r="P683" s="5"/>
    </row>
    <row r="684" ht="12.75" customHeight="1">
      <c r="O684" s="127"/>
      <c r="P684" s="5"/>
    </row>
    <row r="685" ht="12.75" customHeight="1">
      <c r="O685" s="127"/>
      <c r="P685" s="5"/>
    </row>
    <row r="686" ht="12.75" customHeight="1">
      <c r="O686" s="127"/>
      <c r="P686" s="5"/>
    </row>
    <row r="687" ht="12.75" customHeight="1">
      <c r="O687" s="127"/>
      <c r="P687" s="5"/>
    </row>
    <row r="688" ht="12.75" customHeight="1">
      <c r="O688" s="127"/>
      <c r="P688" s="5"/>
    </row>
    <row r="689" ht="12.75" customHeight="1">
      <c r="O689" s="127"/>
      <c r="P689" s="5"/>
    </row>
    <row r="690" ht="12.75" customHeight="1">
      <c r="O690" s="127"/>
      <c r="P690" s="5"/>
    </row>
    <row r="691" ht="12.75" customHeight="1">
      <c r="O691" s="127"/>
      <c r="P691" s="5"/>
    </row>
    <row r="692" ht="12.75" customHeight="1">
      <c r="O692" s="127"/>
      <c r="P692" s="5"/>
    </row>
    <row r="693" ht="12.75" customHeight="1">
      <c r="O693" s="127"/>
      <c r="P693" s="5"/>
    </row>
    <row r="694" ht="12.75" customHeight="1">
      <c r="O694" s="127"/>
      <c r="P694" s="5"/>
    </row>
    <row r="695" ht="12.75" customHeight="1">
      <c r="O695" s="127"/>
      <c r="P695" s="5"/>
    </row>
    <row r="696" ht="12.75" customHeight="1">
      <c r="O696" s="127"/>
      <c r="P696" s="5"/>
    </row>
    <row r="697" ht="12.75" customHeight="1">
      <c r="O697" s="127"/>
      <c r="P697" s="5"/>
    </row>
    <row r="698" ht="12.75" customHeight="1">
      <c r="O698" s="127"/>
      <c r="P698" s="5"/>
    </row>
    <row r="699" ht="12.75" customHeight="1">
      <c r="O699" s="127"/>
      <c r="P699" s="5"/>
    </row>
    <row r="700" ht="12.75" customHeight="1">
      <c r="O700" s="127"/>
      <c r="P700" s="5"/>
    </row>
    <row r="701" ht="12.75" customHeight="1">
      <c r="O701" s="127"/>
      <c r="P701" s="5"/>
    </row>
    <row r="702" ht="12.75" customHeight="1">
      <c r="O702" s="127"/>
      <c r="P702" s="5"/>
    </row>
    <row r="703" ht="12.75" customHeight="1">
      <c r="O703" s="127"/>
      <c r="P703" s="5"/>
    </row>
    <row r="704" ht="12.75" customHeight="1">
      <c r="O704" s="127"/>
      <c r="P704" s="5"/>
    </row>
    <row r="705" ht="12.75" customHeight="1">
      <c r="O705" s="127"/>
      <c r="P705" s="5"/>
    </row>
    <row r="706" ht="12.75" customHeight="1">
      <c r="O706" s="127"/>
      <c r="P706" s="5"/>
    </row>
    <row r="707" ht="12.75" customHeight="1">
      <c r="O707" s="127"/>
      <c r="P707" s="5"/>
    </row>
    <row r="708" ht="12.75" customHeight="1">
      <c r="O708" s="127"/>
      <c r="P708" s="5"/>
    </row>
    <row r="709" ht="12.75" customHeight="1">
      <c r="O709" s="127"/>
      <c r="P709" s="5"/>
    </row>
    <row r="710" ht="12.75" customHeight="1">
      <c r="O710" s="127"/>
      <c r="P710" s="5"/>
    </row>
    <row r="711" ht="12.75" customHeight="1">
      <c r="O711" s="127"/>
      <c r="P711" s="5"/>
    </row>
    <row r="712" ht="12.75" customHeight="1">
      <c r="O712" s="127"/>
      <c r="P712" s="5"/>
    </row>
    <row r="713" ht="12.75" customHeight="1">
      <c r="O713" s="127"/>
      <c r="P713" s="5"/>
    </row>
    <row r="714" ht="12.75" customHeight="1">
      <c r="O714" s="127"/>
      <c r="P714" s="5"/>
    </row>
    <row r="715" ht="12.75" customHeight="1">
      <c r="O715" s="127"/>
      <c r="P715" s="5"/>
    </row>
    <row r="716" ht="12.75" customHeight="1">
      <c r="O716" s="127"/>
      <c r="P716" s="5"/>
    </row>
    <row r="717" ht="12.75" customHeight="1">
      <c r="O717" s="127"/>
      <c r="P717" s="5"/>
    </row>
    <row r="718" ht="12.75" customHeight="1">
      <c r="O718" s="127"/>
      <c r="P718" s="5"/>
    </row>
    <row r="719" ht="12.75" customHeight="1">
      <c r="O719" s="127"/>
      <c r="P719" s="5"/>
    </row>
    <row r="720" ht="12.75" customHeight="1">
      <c r="O720" s="127"/>
      <c r="P720" s="5"/>
    </row>
    <row r="721" ht="12.75" customHeight="1">
      <c r="O721" s="127"/>
      <c r="P721" s="5"/>
    </row>
    <row r="722" ht="12.75" customHeight="1">
      <c r="O722" s="127"/>
      <c r="P722" s="5"/>
    </row>
    <row r="723" ht="12.75" customHeight="1">
      <c r="O723" s="127"/>
      <c r="P723" s="5"/>
    </row>
    <row r="724" ht="12.75" customHeight="1">
      <c r="O724" s="127"/>
      <c r="P724" s="5"/>
    </row>
    <row r="725" ht="12.75" customHeight="1">
      <c r="O725" s="127"/>
      <c r="P725" s="5"/>
    </row>
    <row r="726" ht="12.75" customHeight="1">
      <c r="O726" s="127"/>
      <c r="P726" s="5"/>
    </row>
    <row r="727" ht="12.75" customHeight="1">
      <c r="O727" s="127"/>
      <c r="P727" s="5"/>
    </row>
    <row r="728" ht="12.75" customHeight="1">
      <c r="O728" s="127"/>
      <c r="P728" s="5"/>
    </row>
    <row r="729" ht="12.75" customHeight="1">
      <c r="O729" s="127"/>
      <c r="P729" s="5"/>
    </row>
    <row r="730" ht="12.75" customHeight="1">
      <c r="O730" s="127"/>
      <c r="P730" s="5"/>
    </row>
    <row r="731" ht="12.75" customHeight="1">
      <c r="O731" s="127"/>
      <c r="P731" s="5"/>
    </row>
    <row r="732" ht="12.75" customHeight="1">
      <c r="O732" s="127"/>
      <c r="P732" s="5"/>
    </row>
    <row r="733" ht="12.75" customHeight="1">
      <c r="O733" s="127"/>
      <c r="P733" s="5"/>
    </row>
    <row r="734" ht="12.75" customHeight="1">
      <c r="O734" s="127"/>
      <c r="P734" s="5"/>
    </row>
    <row r="735" ht="12.75" customHeight="1">
      <c r="O735" s="127"/>
      <c r="P735" s="5"/>
    </row>
    <row r="736" ht="12.75" customHeight="1">
      <c r="O736" s="127"/>
      <c r="P736" s="5"/>
    </row>
    <row r="737" ht="12.75" customHeight="1">
      <c r="O737" s="127"/>
      <c r="P737" s="5"/>
    </row>
    <row r="738" ht="12.75" customHeight="1">
      <c r="O738" s="127"/>
      <c r="P738" s="5"/>
    </row>
    <row r="739" ht="12.75" customHeight="1">
      <c r="O739" s="127"/>
      <c r="P739" s="5"/>
    </row>
    <row r="740" ht="12.75" customHeight="1">
      <c r="O740" s="127"/>
      <c r="P740" s="5"/>
    </row>
    <row r="741" ht="12.75" customHeight="1">
      <c r="O741" s="127"/>
      <c r="P741" s="5"/>
    </row>
    <row r="742" ht="12.75" customHeight="1">
      <c r="O742" s="127"/>
      <c r="P742" s="5"/>
    </row>
    <row r="743" ht="12.75" customHeight="1">
      <c r="O743" s="127"/>
      <c r="P743" s="5"/>
    </row>
    <row r="744" ht="12.75" customHeight="1">
      <c r="O744" s="127"/>
      <c r="P744" s="5"/>
    </row>
    <row r="745" ht="12.75" customHeight="1">
      <c r="O745" s="127"/>
      <c r="P745" s="5"/>
    </row>
    <row r="746" ht="12.75" customHeight="1">
      <c r="O746" s="127"/>
      <c r="P746" s="5"/>
    </row>
    <row r="747" ht="12.75" customHeight="1">
      <c r="O747" s="127"/>
      <c r="P747" s="5"/>
    </row>
    <row r="748" ht="12.75" customHeight="1">
      <c r="O748" s="127"/>
      <c r="P748" s="5"/>
    </row>
    <row r="749" ht="12.75" customHeight="1">
      <c r="O749" s="127"/>
      <c r="P749" s="5"/>
    </row>
    <row r="750" ht="12.75" customHeight="1">
      <c r="O750" s="127"/>
      <c r="P750" s="5"/>
    </row>
    <row r="751" ht="12.75" customHeight="1">
      <c r="O751" s="127"/>
      <c r="P751" s="5"/>
    </row>
    <row r="752" ht="12.75" customHeight="1">
      <c r="O752" s="127"/>
      <c r="P752" s="5"/>
    </row>
    <row r="753" ht="12.75" customHeight="1">
      <c r="O753" s="127"/>
      <c r="P753" s="5"/>
    </row>
    <row r="754" ht="12.75" customHeight="1">
      <c r="O754" s="127"/>
      <c r="P754" s="5"/>
    </row>
    <row r="755" ht="12.75" customHeight="1">
      <c r="O755" s="127"/>
      <c r="P755" s="5"/>
    </row>
    <row r="756" ht="12.75" customHeight="1">
      <c r="O756" s="127"/>
      <c r="P756" s="5"/>
    </row>
    <row r="757" ht="12.75" customHeight="1">
      <c r="O757" s="127"/>
      <c r="P757" s="5"/>
    </row>
    <row r="758" ht="12.75" customHeight="1">
      <c r="O758" s="127"/>
      <c r="P758" s="5"/>
    </row>
    <row r="759" ht="12.75" customHeight="1">
      <c r="O759" s="127"/>
      <c r="P759" s="5"/>
    </row>
    <row r="760" ht="12.75" customHeight="1">
      <c r="O760" s="127"/>
      <c r="P760" s="5"/>
    </row>
    <row r="761" ht="12.75" customHeight="1">
      <c r="O761" s="127"/>
      <c r="P761" s="5"/>
    </row>
    <row r="762" ht="12.75" customHeight="1">
      <c r="O762" s="127"/>
      <c r="P762" s="5"/>
    </row>
    <row r="763" ht="12.75" customHeight="1">
      <c r="O763" s="127"/>
      <c r="P763" s="5"/>
    </row>
    <row r="764" ht="12.75" customHeight="1">
      <c r="O764" s="127"/>
      <c r="P764" s="5"/>
    </row>
    <row r="765" ht="12.75" customHeight="1">
      <c r="O765" s="127"/>
      <c r="P765" s="5"/>
    </row>
    <row r="766" ht="12.75" customHeight="1">
      <c r="O766" s="127"/>
      <c r="P766" s="5"/>
    </row>
    <row r="767" ht="12.75" customHeight="1">
      <c r="O767" s="127"/>
      <c r="P767" s="5"/>
    </row>
    <row r="768" ht="12.75" customHeight="1">
      <c r="O768" s="127"/>
      <c r="P768" s="5"/>
    </row>
    <row r="769" ht="12.75" customHeight="1">
      <c r="O769" s="127"/>
      <c r="P769" s="5"/>
    </row>
    <row r="770" ht="12.75" customHeight="1">
      <c r="O770" s="127"/>
      <c r="P770" s="5"/>
    </row>
    <row r="771" ht="12.75" customHeight="1">
      <c r="O771" s="127"/>
      <c r="P771" s="5"/>
    </row>
    <row r="772" ht="12.75" customHeight="1">
      <c r="O772" s="127"/>
      <c r="P772" s="5"/>
    </row>
    <row r="773" ht="12.75" customHeight="1">
      <c r="O773" s="127"/>
      <c r="P773" s="5"/>
    </row>
    <row r="774" ht="12.75" customHeight="1">
      <c r="O774" s="127"/>
      <c r="P774" s="5"/>
    </row>
    <row r="775" ht="12.75" customHeight="1">
      <c r="O775" s="127"/>
      <c r="P775" s="5"/>
    </row>
    <row r="776" ht="12.75" customHeight="1">
      <c r="O776" s="127"/>
      <c r="P776" s="5"/>
    </row>
    <row r="777" ht="12.75" customHeight="1">
      <c r="O777" s="127"/>
      <c r="P777" s="5"/>
    </row>
    <row r="778" ht="12.75" customHeight="1">
      <c r="O778" s="127"/>
      <c r="P778" s="5"/>
    </row>
    <row r="779" ht="12.75" customHeight="1">
      <c r="O779" s="127"/>
      <c r="P779" s="5"/>
    </row>
    <row r="780" ht="12.75" customHeight="1">
      <c r="O780" s="127"/>
      <c r="P780" s="5"/>
    </row>
    <row r="781" ht="12.75" customHeight="1">
      <c r="O781" s="127"/>
      <c r="P781" s="5"/>
    </row>
    <row r="782" ht="12.75" customHeight="1">
      <c r="O782" s="127"/>
      <c r="P782" s="5"/>
    </row>
    <row r="783" ht="12.75" customHeight="1">
      <c r="O783" s="127"/>
      <c r="P783" s="5"/>
    </row>
    <row r="784" ht="12.75" customHeight="1">
      <c r="O784" s="127"/>
      <c r="P784" s="5"/>
    </row>
    <row r="785" ht="12.75" customHeight="1">
      <c r="O785" s="127"/>
      <c r="P785" s="5"/>
    </row>
    <row r="786" ht="12.75" customHeight="1">
      <c r="O786" s="127"/>
      <c r="P786" s="5"/>
    </row>
    <row r="787" ht="12.75" customHeight="1">
      <c r="O787" s="127"/>
      <c r="P787" s="5"/>
    </row>
    <row r="788" ht="12.75" customHeight="1">
      <c r="O788" s="127"/>
      <c r="P788" s="5"/>
    </row>
    <row r="789" ht="12.75" customHeight="1">
      <c r="O789" s="127"/>
      <c r="P789" s="5"/>
    </row>
    <row r="790" ht="12.75" customHeight="1">
      <c r="O790" s="127"/>
      <c r="P790" s="5"/>
    </row>
    <row r="791" ht="12.75" customHeight="1">
      <c r="O791" s="127"/>
      <c r="P791" s="5"/>
    </row>
    <row r="792" ht="12.75" customHeight="1">
      <c r="O792" s="127"/>
      <c r="P792" s="5"/>
    </row>
    <row r="793" ht="12.75" customHeight="1">
      <c r="O793" s="127"/>
      <c r="P793" s="5"/>
    </row>
    <row r="794" ht="12.75" customHeight="1">
      <c r="O794" s="127"/>
      <c r="P794" s="5"/>
    </row>
    <row r="795" ht="12.75" customHeight="1">
      <c r="O795" s="127"/>
      <c r="P795" s="5"/>
    </row>
    <row r="796" ht="12.75" customHeight="1">
      <c r="O796" s="127"/>
      <c r="P796" s="5"/>
    </row>
    <row r="797" ht="12.75" customHeight="1">
      <c r="O797" s="127"/>
      <c r="P797" s="5"/>
    </row>
    <row r="798" ht="12.75" customHeight="1">
      <c r="O798" s="127"/>
      <c r="P798" s="5"/>
    </row>
    <row r="799" ht="12.75" customHeight="1">
      <c r="O799" s="127"/>
      <c r="P799" s="5"/>
    </row>
    <row r="800" ht="12.75" customHeight="1">
      <c r="O800" s="127"/>
      <c r="P800" s="5"/>
    </row>
    <row r="801" ht="12.75" customHeight="1">
      <c r="O801" s="127"/>
      <c r="P801" s="5"/>
    </row>
    <row r="802" ht="12.75" customHeight="1">
      <c r="O802" s="127"/>
      <c r="P802" s="5"/>
    </row>
    <row r="803" ht="12.75" customHeight="1">
      <c r="O803" s="127"/>
      <c r="P803" s="5"/>
    </row>
    <row r="804" ht="12.75" customHeight="1">
      <c r="O804" s="127"/>
      <c r="P804" s="5"/>
    </row>
    <row r="805" ht="12.75" customHeight="1">
      <c r="O805" s="127"/>
      <c r="P805" s="5"/>
    </row>
    <row r="806" ht="12.75" customHeight="1">
      <c r="O806" s="127"/>
      <c r="P806" s="5"/>
    </row>
    <row r="807" ht="12.75" customHeight="1">
      <c r="O807" s="127"/>
      <c r="P807" s="5"/>
    </row>
    <row r="808" ht="12.75" customHeight="1">
      <c r="O808" s="127"/>
      <c r="P808" s="5"/>
    </row>
    <row r="809" ht="12.75" customHeight="1">
      <c r="O809" s="127"/>
      <c r="P809" s="5"/>
    </row>
    <row r="810" ht="12.75" customHeight="1">
      <c r="O810" s="127"/>
      <c r="P810" s="5"/>
    </row>
    <row r="811" ht="12.75" customHeight="1">
      <c r="O811" s="127"/>
      <c r="P811" s="5"/>
    </row>
    <row r="812" ht="12.75" customHeight="1">
      <c r="O812" s="127"/>
      <c r="P812" s="5"/>
    </row>
    <row r="813" ht="12.75" customHeight="1">
      <c r="O813" s="127"/>
      <c r="P813" s="5"/>
    </row>
    <row r="814" ht="12.75" customHeight="1">
      <c r="O814" s="127"/>
      <c r="P814" s="5"/>
    </row>
    <row r="815" ht="12.75" customHeight="1">
      <c r="O815" s="127"/>
      <c r="P815" s="5"/>
    </row>
    <row r="816" ht="12.75" customHeight="1">
      <c r="O816" s="127"/>
      <c r="P816" s="5"/>
    </row>
    <row r="817" ht="12.75" customHeight="1">
      <c r="O817" s="127"/>
      <c r="P817" s="5"/>
    </row>
    <row r="818" ht="12.75" customHeight="1">
      <c r="O818" s="127"/>
      <c r="P818" s="5"/>
    </row>
    <row r="819" ht="12.75" customHeight="1">
      <c r="O819" s="127"/>
      <c r="P819" s="5"/>
    </row>
    <row r="820" ht="12.75" customHeight="1">
      <c r="O820" s="127"/>
      <c r="P820" s="5"/>
    </row>
    <row r="821" ht="12.75" customHeight="1">
      <c r="O821" s="127"/>
      <c r="P821" s="5"/>
    </row>
    <row r="822" ht="12.75" customHeight="1">
      <c r="O822" s="127"/>
      <c r="P822" s="5"/>
    </row>
    <row r="823" ht="12.75" customHeight="1">
      <c r="O823" s="127"/>
      <c r="P823" s="5"/>
    </row>
    <row r="824" ht="12.75" customHeight="1">
      <c r="O824" s="127"/>
      <c r="P824" s="5"/>
    </row>
    <row r="825" ht="12.75" customHeight="1">
      <c r="O825" s="127"/>
      <c r="P825" s="5"/>
    </row>
    <row r="826" ht="12.75" customHeight="1">
      <c r="O826" s="127"/>
      <c r="P826" s="5"/>
    </row>
    <row r="827" ht="12.75" customHeight="1">
      <c r="O827" s="127"/>
      <c r="P827" s="5"/>
    </row>
    <row r="828" ht="12.75" customHeight="1">
      <c r="O828" s="127"/>
      <c r="P828" s="5"/>
    </row>
    <row r="829" ht="12.75" customHeight="1">
      <c r="O829" s="127"/>
      <c r="P829" s="5"/>
    </row>
    <row r="830" ht="12.75" customHeight="1">
      <c r="O830" s="127"/>
      <c r="P830" s="5"/>
    </row>
    <row r="831" ht="12.75" customHeight="1">
      <c r="O831" s="127"/>
      <c r="P831" s="5"/>
    </row>
    <row r="832" ht="12.75" customHeight="1">
      <c r="O832" s="127"/>
      <c r="P832" s="5"/>
    </row>
    <row r="833" ht="12.75" customHeight="1">
      <c r="O833" s="127"/>
      <c r="P833" s="5"/>
    </row>
    <row r="834" ht="12.75" customHeight="1">
      <c r="O834" s="127"/>
      <c r="P834" s="5"/>
    </row>
    <row r="835" ht="12.75" customHeight="1">
      <c r="O835" s="127"/>
      <c r="P835" s="5"/>
    </row>
    <row r="836" ht="12.75" customHeight="1">
      <c r="O836" s="127"/>
      <c r="P836" s="5"/>
    </row>
    <row r="837" ht="12.75" customHeight="1">
      <c r="O837" s="127"/>
      <c r="P837" s="5"/>
    </row>
    <row r="838" ht="12.75" customHeight="1">
      <c r="O838" s="127"/>
      <c r="P838" s="5"/>
    </row>
    <row r="839" ht="12.75" customHeight="1">
      <c r="O839" s="127"/>
      <c r="P839" s="5"/>
    </row>
    <row r="840" ht="12.75" customHeight="1">
      <c r="O840" s="127"/>
      <c r="P840" s="5"/>
    </row>
    <row r="841" ht="12.75" customHeight="1">
      <c r="O841" s="127"/>
      <c r="P841" s="5"/>
    </row>
    <row r="842" ht="12.75" customHeight="1">
      <c r="O842" s="127"/>
      <c r="P842" s="5"/>
    </row>
    <row r="843" ht="12.75" customHeight="1">
      <c r="O843" s="127"/>
      <c r="P843" s="5"/>
    </row>
    <row r="844" ht="12.75" customHeight="1">
      <c r="O844" s="127"/>
      <c r="P844" s="5"/>
    </row>
    <row r="845" ht="12.75" customHeight="1">
      <c r="O845" s="127"/>
      <c r="P845" s="5"/>
    </row>
    <row r="846" ht="12.75" customHeight="1">
      <c r="O846" s="127"/>
      <c r="P846" s="5"/>
    </row>
    <row r="847" ht="12.75" customHeight="1">
      <c r="O847" s="127"/>
      <c r="P847" s="5"/>
    </row>
    <row r="848" ht="12.75" customHeight="1">
      <c r="O848" s="127"/>
      <c r="P848" s="5"/>
    </row>
    <row r="849" ht="12.75" customHeight="1">
      <c r="O849" s="127"/>
      <c r="P849" s="5"/>
    </row>
    <row r="850" ht="12.75" customHeight="1">
      <c r="O850" s="127"/>
      <c r="P850" s="5"/>
    </row>
    <row r="851" ht="12.75" customHeight="1">
      <c r="O851" s="127"/>
      <c r="P851" s="5"/>
    </row>
    <row r="852" ht="12.75" customHeight="1">
      <c r="O852" s="127"/>
      <c r="P852" s="5"/>
    </row>
    <row r="853" ht="12.75" customHeight="1">
      <c r="O853" s="127"/>
      <c r="P853" s="5"/>
    </row>
    <row r="854" ht="12.75" customHeight="1">
      <c r="O854" s="127"/>
      <c r="P854" s="5"/>
    </row>
    <row r="855" ht="12.75" customHeight="1">
      <c r="O855" s="127"/>
      <c r="P855" s="5"/>
    </row>
    <row r="856" ht="12.75" customHeight="1">
      <c r="O856" s="127"/>
      <c r="P856" s="5"/>
    </row>
    <row r="857" ht="12.75" customHeight="1">
      <c r="O857" s="127"/>
      <c r="P857" s="5"/>
    </row>
    <row r="858" ht="12.75" customHeight="1">
      <c r="O858" s="127"/>
      <c r="P858" s="5"/>
    </row>
    <row r="859" ht="12.75" customHeight="1">
      <c r="O859" s="127"/>
      <c r="P859" s="5"/>
    </row>
    <row r="860" ht="12.75" customHeight="1">
      <c r="O860" s="127"/>
      <c r="P860" s="5"/>
    </row>
    <row r="861" ht="12.75" customHeight="1">
      <c r="O861" s="127"/>
      <c r="P861" s="5"/>
    </row>
    <row r="862" ht="12.75" customHeight="1">
      <c r="O862" s="127"/>
      <c r="P862" s="5"/>
    </row>
    <row r="863" ht="12.75" customHeight="1">
      <c r="O863" s="127"/>
      <c r="P863" s="5"/>
    </row>
    <row r="864" ht="12.75" customHeight="1">
      <c r="O864" s="127"/>
      <c r="P864" s="5"/>
    </row>
    <row r="865" ht="12.75" customHeight="1">
      <c r="O865" s="127"/>
      <c r="P865" s="5"/>
    </row>
    <row r="866" ht="12.75" customHeight="1">
      <c r="O866" s="127"/>
      <c r="P866" s="5"/>
    </row>
    <row r="867" ht="12.75" customHeight="1">
      <c r="O867" s="127"/>
      <c r="P867" s="5"/>
    </row>
    <row r="868" ht="12.75" customHeight="1">
      <c r="O868" s="127"/>
      <c r="P868" s="5"/>
    </row>
    <row r="869" ht="12.75" customHeight="1">
      <c r="O869" s="127"/>
      <c r="P869" s="5"/>
    </row>
    <row r="870" ht="12.75" customHeight="1">
      <c r="O870" s="127"/>
      <c r="P870" s="5"/>
    </row>
    <row r="871" ht="12.75" customHeight="1">
      <c r="O871" s="127"/>
      <c r="P871" s="5"/>
    </row>
    <row r="872" ht="12.75" customHeight="1">
      <c r="O872" s="127"/>
      <c r="P872" s="5"/>
    </row>
    <row r="873" ht="12.75" customHeight="1">
      <c r="O873" s="127"/>
      <c r="P873" s="5"/>
    </row>
    <row r="874" ht="12.75" customHeight="1">
      <c r="O874" s="127"/>
      <c r="P874" s="5"/>
    </row>
    <row r="875" ht="12.75" customHeight="1">
      <c r="O875" s="127"/>
      <c r="P875" s="5"/>
    </row>
    <row r="876" ht="12.75" customHeight="1">
      <c r="O876" s="127"/>
      <c r="P876" s="5"/>
    </row>
    <row r="877" ht="12.75" customHeight="1">
      <c r="O877" s="127"/>
      <c r="P877" s="5"/>
    </row>
    <row r="878" ht="12.75" customHeight="1">
      <c r="O878" s="127"/>
      <c r="P878" s="5"/>
    </row>
    <row r="879" ht="12.75" customHeight="1">
      <c r="O879" s="127"/>
      <c r="P879" s="5"/>
    </row>
    <row r="880" ht="12.75" customHeight="1">
      <c r="O880" s="127"/>
      <c r="P880" s="5"/>
    </row>
    <row r="881" ht="12.75" customHeight="1">
      <c r="O881" s="127"/>
      <c r="P881" s="5"/>
    </row>
    <row r="882" ht="12.75" customHeight="1">
      <c r="O882" s="127"/>
      <c r="P882" s="5"/>
    </row>
    <row r="883" ht="12.75" customHeight="1">
      <c r="O883" s="127"/>
      <c r="P883" s="5"/>
    </row>
    <row r="884" ht="12.75" customHeight="1">
      <c r="O884" s="127"/>
      <c r="P884" s="5"/>
    </row>
    <row r="885" ht="12.75" customHeight="1">
      <c r="O885" s="127"/>
      <c r="P885" s="5"/>
    </row>
    <row r="886" ht="12.75" customHeight="1">
      <c r="O886" s="127"/>
      <c r="P886" s="5"/>
    </row>
    <row r="887" ht="12.75" customHeight="1">
      <c r="O887" s="127"/>
      <c r="P887" s="5"/>
    </row>
    <row r="888" ht="12.75" customHeight="1">
      <c r="O888" s="127"/>
      <c r="P888" s="5"/>
    </row>
    <row r="889" ht="12.75" customHeight="1">
      <c r="O889" s="127"/>
      <c r="P889" s="5"/>
    </row>
    <row r="890" ht="12.75" customHeight="1">
      <c r="O890" s="127"/>
      <c r="P890" s="5"/>
    </row>
    <row r="891" ht="12.75" customHeight="1">
      <c r="O891" s="127"/>
      <c r="P891" s="5"/>
    </row>
    <row r="892" ht="12.75" customHeight="1">
      <c r="O892" s="127"/>
      <c r="P892" s="5"/>
    </row>
    <row r="893" ht="12.75" customHeight="1">
      <c r="O893" s="127"/>
      <c r="P893" s="5"/>
    </row>
    <row r="894" ht="12.75" customHeight="1">
      <c r="O894" s="127"/>
      <c r="P894" s="5"/>
    </row>
    <row r="895" ht="12.75" customHeight="1">
      <c r="O895" s="127"/>
      <c r="P895" s="5"/>
    </row>
    <row r="896" ht="12.75" customHeight="1">
      <c r="O896" s="127"/>
      <c r="P896" s="5"/>
    </row>
    <row r="897" ht="12.75" customHeight="1">
      <c r="O897" s="127"/>
      <c r="P897" s="5"/>
    </row>
    <row r="898" ht="12.75" customHeight="1">
      <c r="O898" s="127"/>
      <c r="P898" s="5"/>
    </row>
    <row r="899" ht="12.75" customHeight="1">
      <c r="O899" s="127"/>
      <c r="P899" s="5"/>
    </row>
    <row r="900" ht="12.75" customHeight="1">
      <c r="O900" s="127"/>
      <c r="P900" s="5"/>
    </row>
    <row r="901" ht="12.75" customHeight="1">
      <c r="O901" s="127"/>
      <c r="P901" s="5"/>
    </row>
    <row r="902" ht="12.75" customHeight="1">
      <c r="O902" s="127"/>
      <c r="P902" s="5"/>
    </row>
    <row r="903" ht="12.75" customHeight="1">
      <c r="O903" s="127"/>
      <c r="P903" s="5"/>
    </row>
    <row r="904" ht="12.75" customHeight="1">
      <c r="O904" s="127"/>
      <c r="P904" s="5"/>
    </row>
    <row r="905" ht="12.75" customHeight="1">
      <c r="O905" s="127"/>
      <c r="P905" s="5"/>
    </row>
    <row r="906" ht="12.75" customHeight="1">
      <c r="O906" s="127"/>
      <c r="P906" s="5"/>
    </row>
    <row r="907" ht="12.75" customHeight="1">
      <c r="O907" s="127"/>
      <c r="P907" s="5"/>
    </row>
    <row r="908" ht="12.75" customHeight="1">
      <c r="O908" s="127"/>
      <c r="P908" s="5"/>
    </row>
    <row r="909" ht="12.75" customHeight="1">
      <c r="O909" s="127"/>
      <c r="P909" s="5"/>
    </row>
    <row r="910" ht="12.75" customHeight="1">
      <c r="O910" s="127"/>
      <c r="P910" s="5"/>
    </row>
    <row r="911" ht="12.75" customHeight="1">
      <c r="O911" s="127"/>
      <c r="P911" s="5"/>
    </row>
    <row r="912" ht="12.75" customHeight="1">
      <c r="O912" s="127"/>
      <c r="P912" s="5"/>
    </row>
    <row r="913" ht="12.75" customHeight="1">
      <c r="O913" s="127"/>
      <c r="P913" s="5"/>
    </row>
    <row r="914" ht="12.75" customHeight="1">
      <c r="O914" s="127"/>
      <c r="P914" s="5"/>
    </row>
    <row r="915" ht="12.75" customHeight="1">
      <c r="O915" s="127"/>
      <c r="P915" s="5"/>
    </row>
    <row r="916" ht="12.75" customHeight="1">
      <c r="O916" s="127"/>
      <c r="P916" s="5"/>
    </row>
    <row r="917" ht="12.75" customHeight="1">
      <c r="O917" s="127"/>
      <c r="P917" s="5"/>
    </row>
    <row r="918" ht="12.75" customHeight="1">
      <c r="O918" s="127"/>
      <c r="P918" s="5"/>
    </row>
    <row r="919" ht="12.75" customHeight="1">
      <c r="O919" s="127"/>
      <c r="P919" s="5"/>
    </row>
    <row r="920" ht="12.75" customHeight="1">
      <c r="O920" s="127"/>
      <c r="P920" s="5"/>
    </row>
    <row r="921" ht="12.75" customHeight="1">
      <c r="O921" s="127"/>
      <c r="P921" s="5"/>
    </row>
    <row r="922" ht="12.75" customHeight="1">
      <c r="O922" s="127"/>
      <c r="P922" s="5"/>
    </row>
    <row r="923" ht="12.75" customHeight="1">
      <c r="O923" s="127"/>
      <c r="P923" s="5"/>
    </row>
    <row r="924" ht="12.75" customHeight="1">
      <c r="O924" s="127"/>
      <c r="P924" s="5"/>
    </row>
    <row r="925" ht="12.75" customHeight="1">
      <c r="O925" s="127"/>
      <c r="P925" s="5"/>
    </row>
    <row r="926" ht="12.75" customHeight="1">
      <c r="O926" s="127"/>
      <c r="P926" s="5"/>
    </row>
    <row r="927" ht="12.75" customHeight="1">
      <c r="O927" s="127"/>
      <c r="P927" s="5"/>
    </row>
    <row r="928" ht="12.75" customHeight="1">
      <c r="O928" s="127"/>
      <c r="P928" s="5"/>
    </row>
    <row r="929" ht="12.75" customHeight="1">
      <c r="O929" s="127"/>
      <c r="P929" s="5"/>
    </row>
    <row r="930" ht="12.75" customHeight="1">
      <c r="O930" s="127"/>
      <c r="P930" s="5"/>
    </row>
    <row r="931" ht="12.75" customHeight="1">
      <c r="O931" s="127"/>
      <c r="P931" s="5"/>
    </row>
    <row r="932" ht="12.75" customHeight="1">
      <c r="O932" s="127"/>
      <c r="P932" s="5"/>
    </row>
    <row r="933" ht="12.75" customHeight="1">
      <c r="O933" s="127"/>
      <c r="P933" s="5"/>
    </row>
    <row r="934" ht="12.75" customHeight="1">
      <c r="O934" s="127"/>
      <c r="P934" s="5"/>
    </row>
    <row r="935" ht="12.75" customHeight="1">
      <c r="O935" s="127"/>
      <c r="P935" s="5"/>
    </row>
    <row r="936" ht="12.75" customHeight="1">
      <c r="O936" s="127"/>
      <c r="P936" s="5"/>
    </row>
    <row r="937" ht="12.75" customHeight="1">
      <c r="O937" s="127"/>
      <c r="P937" s="5"/>
    </row>
    <row r="938" ht="12.75" customHeight="1">
      <c r="O938" s="127"/>
      <c r="P938" s="5"/>
    </row>
    <row r="939" ht="12.75" customHeight="1">
      <c r="O939" s="127"/>
      <c r="P939" s="5"/>
    </row>
    <row r="940" ht="12.75" customHeight="1">
      <c r="O940" s="127"/>
      <c r="P940" s="5"/>
    </row>
    <row r="941" ht="12.75" customHeight="1">
      <c r="O941" s="127"/>
      <c r="P941" s="5"/>
    </row>
    <row r="942" ht="12.75" customHeight="1">
      <c r="O942" s="127"/>
      <c r="P942" s="5"/>
    </row>
    <row r="943" ht="12.75" customHeight="1">
      <c r="O943" s="127"/>
      <c r="P943" s="5"/>
    </row>
    <row r="944" ht="12.75" customHeight="1">
      <c r="O944" s="127"/>
      <c r="P944" s="5"/>
    </row>
    <row r="945" ht="12.75" customHeight="1">
      <c r="O945" s="127"/>
      <c r="P945" s="5"/>
    </row>
    <row r="946" ht="12.75" customHeight="1">
      <c r="O946" s="127"/>
      <c r="P946" s="5"/>
    </row>
    <row r="947" ht="12.75" customHeight="1">
      <c r="O947" s="127"/>
      <c r="P947" s="5"/>
    </row>
    <row r="948" ht="12.75" customHeight="1">
      <c r="O948" s="127"/>
      <c r="P948" s="5"/>
    </row>
    <row r="949" ht="12.75" customHeight="1">
      <c r="O949" s="127"/>
      <c r="P949" s="5"/>
    </row>
    <row r="950" ht="12.75" customHeight="1">
      <c r="O950" s="127"/>
      <c r="P950" s="5"/>
    </row>
    <row r="951" ht="12.75" customHeight="1">
      <c r="O951" s="127"/>
      <c r="P951" s="5"/>
    </row>
    <row r="952" ht="12.75" customHeight="1">
      <c r="O952" s="127"/>
      <c r="P952" s="5"/>
    </row>
    <row r="953" ht="12.75" customHeight="1">
      <c r="O953" s="127"/>
      <c r="P953" s="5"/>
    </row>
    <row r="954" ht="12.75" customHeight="1">
      <c r="O954" s="127"/>
      <c r="P954" s="5"/>
    </row>
    <row r="955" ht="12.75" customHeight="1">
      <c r="O955" s="127"/>
      <c r="P955" s="5"/>
    </row>
    <row r="956" ht="12.75" customHeight="1">
      <c r="O956" s="127"/>
      <c r="P956" s="5"/>
    </row>
    <row r="957" ht="12.75" customHeight="1">
      <c r="O957" s="127"/>
      <c r="P957" s="5"/>
    </row>
    <row r="958" ht="12.75" customHeight="1">
      <c r="O958" s="127"/>
      <c r="P958" s="5"/>
    </row>
    <row r="959" ht="12.75" customHeight="1">
      <c r="O959" s="127"/>
      <c r="P959" s="5"/>
    </row>
    <row r="960" ht="12.75" customHeight="1">
      <c r="O960" s="127"/>
      <c r="P960" s="5"/>
    </row>
    <row r="961" ht="12.75" customHeight="1">
      <c r="O961" s="127"/>
      <c r="P961" s="5"/>
    </row>
    <row r="962" ht="12.75" customHeight="1">
      <c r="O962" s="127"/>
      <c r="P962" s="5"/>
    </row>
    <row r="963" ht="12.75" customHeight="1">
      <c r="O963" s="127"/>
      <c r="P963" s="5"/>
    </row>
    <row r="964" ht="12.75" customHeight="1">
      <c r="O964" s="127"/>
      <c r="P964" s="5"/>
    </row>
    <row r="965" ht="12.75" customHeight="1">
      <c r="O965" s="127"/>
      <c r="P965" s="5"/>
    </row>
    <row r="966" ht="12.75" customHeight="1">
      <c r="O966" s="127"/>
      <c r="P966" s="5"/>
    </row>
    <row r="967" ht="12.75" customHeight="1">
      <c r="O967" s="127"/>
      <c r="P967" s="5"/>
    </row>
    <row r="968" ht="12.75" customHeight="1">
      <c r="O968" s="127"/>
      <c r="P968" s="5"/>
    </row>
    <row r="969" ht="12.75" customHeight="1">
      <c r="O969" s="127"/>
      <c r="P969" s="5"/>
    </row>
    <row r="970" ht="12.75" customHeight="1">
      <c r="O970" s="127"/>
      <c r="P970" s="5"/>
    </row>
    <row r="971" ht="12.75" customHeight="1">
      <c r="O971" s="127"/>
      <c r="P971" s="5"/>
    </row>
    <row r="972" ht="12.75" customHeight="1">
      <c r="O972" s="127"/>
      <c r="P972" s="5"/>
    </row>
    <row r="973" ht="12.75" customHeight="1">
      <c r="O973" s="127"/>
      <c r="P973" s="5"/>
    </row>
    <row r="974" ht="12.75" customHeight="1">
      <c r="O974" s="127"/>
      <c r="P974" s="5"/>
    </row>
    <row r="975" ht="12.75" customHeight="1">
      <c r="O975" s="127"/>
      <c r="P975" s="5"/>
    </row>
    <row r="976" ht="12.75" customHeight="1">
      <c r="O976" s="127"/>
      <c r="P976" s="5"/>
    </row>
    <row r="977" ht="12.75" customHeight="1">
      <c r="O977" s="127"/>
      <c r="P977" s="5"/>
    </row>
    <row r="978" ht="12.75" customHeight="1">
      <c r="O978" s="127"/>
      <c r="P978" s="5"/>
    </row>
    <row r="979" ht="12.75" customHeight="1">
      <c r="O979" s="127"/>
      <c r="P979" s="5"/>
    </row>
    <row r="980" ht="12.75" customHeight="1">
      <c r="O980" s="127"/>
      <c r="P980" s="5"/>
    </row>
    <row r="981" ht="12.75" customHeight="1">
      <c r="O981" s="127"/>
      <c r="P981" s="5"/>
    </row>
    <row r="982" ht="12.75" customHeight="1">
      <c r="O982" s="127"/>
      <c r="P982" s="5"/>
    </row>
    <row r="983" ht="12.75" customHeight="1">
      <c r="O983" s="127"/>
      <c r="P983" s="5"/>
    </row>
    <row r="984" ht="12.75" customHeight="1">
      <c r="O984" s="127"/>
      <c r="P984" s="5"/>
    </row>
    <row r="985" ht="12.75" customHeight="1">
      <c r="O985" s="127"/>
      <c r="P985" s="5"/>
    </row>
    <row r="986" ht="12.75" customHeight="1">
      <c r="O986" s="127"/>
      <c r="P986" s="5"/>
    </row>
    <row r="987" ht="12.75" customHeight="1">
      <c r="O987" s="127"/>
      <c r="P987" s="5"/>
    </row>
    <row r="988" ht="12.75" customHeight="1">
      <c r="O988" s="127"/>
      <c r="P988" s="5"/>
    </row>
    <row r="989" ht="12.75" customHeight="1">
      <c r="O989" s="127"/>
      <c r="P989" s="5"/>
    </row>
    <row r="990" ht="12.75" customHeight="1">
      <c r="O990" s="127"/>
      <c r="P990" s="5"/>
    </row>
    <row r="991" ht="12.75" customHeight="1">
      <c r="O991" s="127"/>
      <c r="P991" s="5"/>
    </row>
    <row r="992" ht="12.75" customHeight="1">
      <c r="O992" s="127"/>
      <c r="P992" s="5"/>
    </row>
    <row r="993" ht="12.75" customHeight="1">
      <c r="O993" s="127"/>
      <c r="P993" s="5"/>
    </row>
    <row r="994" ht="12.75" customHeight="1">
      <c r="O994" s="127"/>
      <c r="P994" s="5"/>
    </row>
    <row r="995" ht="12.75" customHeight="1">
      <c r="O995" s="127"/>
      <c r="P995" s="5"/>
    </row>
    <row r="996" ht="12.75" customHeight="1">
      <c r="O996" s="127"/>
      <c r="P996" s="5"/>
    </row>
    <row r="997" ht="12.75" customHeight="1">
      <c r="O997" s="127"/>
      <c r="P997" s="5"/>
    </row>
    <row r="998" ht="12.75" customHeight="1">
      <c r="O998" s="127"/>
      <c r="P998" s="5"/>
    </row>
    <row r="999" ht="12.75" customHeight="1">
      <c r="O999" s="127"/>
      <c r="P999" s="5"/>
    </row>
    <row r="1000" ht="12.75" customHeight="1">
      <c r="O1000" s="127"/>
      <c r="P1000" s="5"/>
    </row>
  </sheetData>
  <mergeCells count="2">
    <mergeCell ref="E1:G1"/>
    <mergeCell ref="L1:N1"/>
  </mergeCells>
  <drawing r:id="rId1"/>
</worksheet>
</file>